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8bf2d0470254ef6" /></Relationships>
</file>

<file path=xl/workbook.xml><?xml version="1.0" encoding="utf-8"?>
<workbook xmlns="http://schemas.openxmlformats.org/spreadsheetml/2006/main" xmlns:ns1="http://schemas.openxmlformats.org/officeDocument/2006/relationships">
  <workbookProtection lockStructure="1" workbookPassword="B07A"/>
  <sheets>
    <sheet name="TOM_TAT" sheetId="1" ns1:id="R3c8f8427ba5f4401"/>
    <sheet name="GIA_DINH" sheetId="2" ns1:id="R961fbb19017a40f8"/>
    <sheet name="DINH_MUC" sheetId="3" ns1:id="R57016ccbbd4248f9"/>
    <sheet name="CHI_PHI_VU" sheetId="4" ns1:id="R1d5291ccd7c54d76"/>
    <sheet name="TAI_SAN" sheetId="5" ns1:id="Rfabec177bd594658"/>
    <sheet name="KICH_BAN" sheetId="6" ns1:id="R37c9c24685164bba"/>
    <sheet name="DONG_TIEN" sheetId="7" ns1:id="Refa33c1abcc44ee2"/>
    <sheet name="NGUONG_DAU_TU" sheetId="8" ns1:id="R90eacb7ca98e416e"/>
    <sheet name="DO_NHAY" sheetId="9" ns1:id="R50d1aabf21974534"/>
    <sheet name="LAO_DONG" sheetId="10" ns1:id="Rd42df6b8f3c1466c"/>
    <sheet name="VAT_TU" sheetId="11" ns1:id="R25efc97cccc44b1f"/>
    <sheet name="KIEM_NGHIEM" sheetId="12" ns1:id="R011c5a6d29194603"/>
    <sheet name="NHAT_KY_MAU" sheetId="13" ns1:id="Rf0cb130c9ef046c2"/>
    <sheet name="NGUON" sheetId="14" ns1:id="R1759009381e148fe"/>
    <sheet name="KIEM_TRA" sheetId="15" ns1:id="R15738c40e87b4b02"/>
    <sheet name="REV_E" sheetId="16" ns1:id="R39c89804bd834f28"/>
    <sheet name="MUA_CONG" sheetId="17" ns1:id="R7c780150e2134a41"/>
    <sheet name="THU_NGHIEM" sheetId="18" ns1:id="R22f0b99066eb4b90"/>
    <sheet name="NHAT_KY_MUA" sheetId="19" ns1:id="Rbce0b0b4a31946e9"/>
    <sheet name="BAN_QUYEN" sheetId="20" ns1:id="Rea33400c321045e5"/>
  </sheets>
</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
    <x:numFmt numFmtId="201" formatCode="0.0%"/>
    <x:numFmt numFmtId="202" formatCode="#,##0.00"/>
    <x:numFmt numFmtId="203" formatCode="#,##0.0"/>
    <x:numFmt numFmtId="204" formatCode="#,##0;[Red](#,##0);&quot;–&quot;"/>
  </x:numFmts>
  <x:fonts count="35">
    <x:font>
      <x:sz val="11"/>
      <x:name val="Carlito"/>
    </x:font>
    <x:font>
      <x:b/>
      <x:sz val="18"/>
      <x:color rgb="FFFFFFFF"/>
      <x:name val="Carlito"/>
    </x:font>
    <x:font>
      <x:i/>
      <x:sz val="10"/>
      <x:color rgb="FF254D40"/>
      <x:name val="Carlito"/>
    </x:font>
    <x:font>
      <x:b/>
      <x:sz val="11"/>
      <x:color rgb="FFFFFFFF"/>
      <x:name val="Carlito"/>
    </x:font>
    <x:font>
      <x:b/>
      <x:sz val="9"/>
      <x:color rgb="FFFFFFFF"/>
      <x:name val="Carlito"/>
    </x:font>
    <x:font>
      <x:sz val="8"/>
      <x:color rgb="FF202824"/>
      <x:name val="Carlito"/>
    </x:font>
    <x:font>
      <x:b/>
      <x:sz val="8"/>
      <x:color rgb="FF1F4EAD"/>
      <x:name val="Carlito"/>
    </x:font>
    <x:font>
      <x:i/>
      <x:sz val="9"/>
      <x:color rgb="FFB04A3B"/>
      <x:name val="Carlito"/>
    </x:font>
    <x:font>
      <x:b/>
      <x:sz val="8"/>
      <x:color rgb="FF17372D"/>
      <x:name val="Carlito"/>
    </x:font>
    <x:font>
      <x:sz val="8"/>
      <x:color rgb="FF008000"/>
      <x:name val="Carlito"/>
    </x:font>
    <x:font>
      <x:b/>
      <x:sz val="8"/>
      <x:color rgb="FF008000"/>
      <x:name val="Carlito"/>
    </x:font>
    <x:font>
      <x:sz val="9"/>
      <x:color rgb="FF202824"/>
      <x:name val="Carlito"/>
    </x:font>
    <x:font>
      <x:b/>
      <x:sz val="9"/>
      <x:color rgb="FF17372D"/>
      <x:name val="Carlito"/>
    </x:font>
    <x:font>
      <x:b/>
      <x:sz val="9"/>
      <x:color rgb="FFB04A3B"/>
      <x:name val="Carlito"/>
    </x:font>
    <x:font>
      <x:b/>
      <x:sz val="8"/>
      <x:color rgb="FFFFFFFF"/>
      <x:name val="Carlito"/>
    </x:font>
    <x:font>
      <x:b/>
      <x:sz val="18"/>
      <x:color rgb="FFFFFFFF"/>
      <x:name val="Arial"/>
    </x:font>
    <x:font>
      <x:i/>
      <x:sz val="10"/>
      <x:color rgb="FF254D40"/>
      <x:name val="Arial"/>
    </x:font>
    <x:font>
      <x:b/>
      <x:sz val="11"/>
      <x:color rgb="FFFFFFFF"/>
      <x:name val="Arial"/>
    </x:font>
    <x:font>
      <x:sz val="11"/>
      <x:name val="Arial"/>
    </x:font>
    <x:font>
      <x:b/>
      <x:sz val="9"/>
      <x:color rgb="FF17372D"/>
      <x:name val="Arial"/>
    </x:font>
    <x:font>
      <x:b/>
      <x:sz val="9"/>
      <x:color rgb="FFB04A3B"/>
      <x:name val="Arial"/>
    </x:font>
    <x:font>
      <x:sz val="9"/>
      <x:color rgb="FF202824"/>
      <x:name val="Arial"/>
    </x:font>
    <x:font>
      <x:b/>
      <x:sz val="9"/>
      <x:color rgb="FFFFFFFF"/>
      <x:name val="Arial"/>
    </x:font>
    <x:font>
      <x:b/>
      <x:sz val="8"/>
      <x:color rgb="FFFFFFFF"/>
      <x:name val="Arial"/>
    </x:font>
    <x:font>
      <x:sz val="8"/>
      <x:color rgb="FF008000"/>
      <x:name val="Arial"/>
    </x:font>
    <x:font>
      <x:sz val="8"/>
      <x:color rgb="FF202824"/>
      <x:name val="Arial"/>
    </x:font>
    <x:font>
      <x:i/>
      <x:sz val="9"/>
      <x:color rgb="FFB04A3B"/>
      <x:name val="Arial"/>
    </x:font>
    <x:font>
      <x:b/>
      <x:sz val="8"/>
      <x:color rgb="FF1F4EAD"/>
      <x:name val="Arial"/>
    </x:font>
    <x:font>
      <x:b/>
      <x:sz val="8"/>
      <x:color rgb="FF17372D"/>
      <x:name val="Arial"/>
    </x:font>
    <x:font>
      <x:b/>
      <x:sz val="8"/>
      <x:color rgb="FF008000"/>
      <x:name val="Arial"/>
    </x:font>
    <x:font>
      <x:sz val="11"/>
      <x:color rgb="FF243E38"/>
      <x:name val="Arial"/>
    </x:font>
    <x:font>
      <x:b/>
      <x:sz val="16"/>
      <x:color rgb="FFFFFFFF"/>
      <x:name val="Arial"/>
    </x:font>
    <x:font>
      <x:sz val="11"/>
      <x:color rgb="FF173D38"/>
      <x:name val="Arial"/>
    </x:font>
    <x:font>
      <x:sz val="11"/>
      <x:color rgb="FF0000FF"/>
      <x:name val="Arial"/>
    </x:font>
    <x:font>
      <x:sz val="11"/>
      <x:color rgb="FFFFFFFF"/>
      <x:name val="Carlito"/>
    </x:font>
  </x:fonts>
  <x:fills count="12">
    <x:fill>
      <x:patternFill patternType="none"/>
    </x:fill>
    <x:fill>
      <x:patternFill patternType="gray125"/>
    </x:fill>
    <x:fill>
      <x:patternFill patternType="solid">
        <x:fgColor rgb="FF17372D"/>
      </x:patternFill>
    </x:fill>
    <x:fill>
      <x:patternFill patternType="solid">
        <x:fgColor rgb="FFF6F1E7"/>
      </x:patternFill>
    </x:fill>
    <x:fill>
      <x:patternFill patternType="solid">
        <x:fgColor rgb="FF254D40"/>
      </x:patternFill>
    </x:fill>
    <x:fill>
      <x:patternFill patternType="solid">
        <x:fgColor rgb="FFB78B48"/>
      </x:patternFill>
    </x:fill>
    <x:fill>
      <x:patternFill patternType="solid">
        <x:fgColor rgb="FFEEF4FF"/>
      </x:patternFill>
    </x:fill>
    <x:fill>
      <x:patternFill patternType="solid">
        <x:fgColor rgb="FFFCE9E5"/>
      </x:patternFill>
    </x:fill>
    <x:fill>
      <x:patternFill patternType="solid">
        <x:fgColor rgb="FFE8EFE9"/>
      </x:patternFill>
    </x:fill>
    <x:fill>
      <x:patternFill patternType="solid">
        <x:fgColor rgb="FFD6A84D"/>
      </x:patternFill>
    </x:fill>
    <x:fill>
      <x:patternFill patternType="solid">
        <x:fgColor rgb="FF173D38"/>
      </x:patternFill>
    </x:fill>
    <x:fill>
      <x:patternFill patternType="solid">
        <x:fgColor rgb="FFF4F1E9"/>
      </x:patternFill>
    </x:fill>
  </x:fills>
  <x:borders count="10">
    <x:border/>
    <x:border>
      <x:left style="thin">
        <x:color rgb="FFD6DED9"/>
      </x:left>
      <x:right style="thin">
        <x:color rgb="FFD6DED9"/>
      </x:right>
      <x:top style="thin">
        <x:color rgb="FFD6DED9"/>
      </x:top>
      <x:bottom style="thin">
        <x:color rgb="FFD6DED9"/>
      </x:bottom>
    </x:border>
    <x:border>
      <x:left style="thin">
        <x:color rgb="FFB04A3B"/>
      </x:left>
      <x:top style="thin">
        <x:color rgb="FFB04A3B"/>
      </x:top>
    </x:border>
    <x:border>
      <x:top style="thin">
        <x:color rgb="FFB04A3B"/>
      </x:top>
    </x:border>
    <x:border>
      <x:right style="thin">
        <x:color rgb="FFB04A3B"/>
      </x:right>
      <x:top style="thin">
        <x:color rgb="FFB04A3B"/>
      </x:top>
    </x:border>
    <x:border>
      <x:left style="thin">
        <x:color rgb="FFB04A3B"/>
      </x:left>
    </x:border>
    <x:border>
      <x:right style="thin">
        <x:color rgb="FFB04A3B"/>
      </x:right>
    </x:border>
    <x:border>
      <x:left style="thin">
        <x:color rgb="FFB04A3B"/>
      </x:left>
      <x:bottom style="thin">
        <x:color rgb="FFB04A3B"/>
      </x:bottom>
    </x:border>
    <x:border>
      <x:bottom style="thin">
        <x:color rgb="FFB04A3B"/>
      </x:bottom>
    </x:border>
    <x:border>
      <x:right style="thin">
        <x:color rgb="FFB04A3B"/>
      </x:right>
      <x:bottom style="thin">
        <x:color rgb="FFB04A3B"/>
      </x:bottom>
    </x:border>
  </x:borders>
  <x:cellStyleXfs count="1">
    <x:xf numFmtId="0" fontId="0" fillId="0" borderId="0"/>
  </x:cellStyleXfs>
  <x:cellXfs count="15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0" fontId="4" fillId="5" borderId="1" xfId="0" applyNumberFormat="1" applyFont="1" applyFill="1" applyBorder="1" applyAlignment="1">
      <x:alignment horizontal="center" vertical="center" wrapText="1"/>
    </x:xf>
    <x:xf numFmtId="0" fontId="5" fillId="0" borderId="0" xfId="0" applyNumberFormat="1" applyFont="1" applyFill="1" applyBorder="1"/>
    <x:xf numFmtId="0" fontId="5" fillId="0" borderId="1" xfId="0" applyNumberFormat="1" applyFont="1" applyFill="1" applyBorder="1"/>
    <x:xf numFmtId="0" fontId="5" fillId="0" borderId="1" xfId="0" applyNumberFormat="1" applyFont="1" applyFill="1" applyBorder="1" applyAlignment="1">
      <x:alignment wrapText="1"/>
    </x:xf>
    <x:xf numFmtId="0" fontId="5" fillId="0" borderId="1" xfId="0" applyNumberFormat="1" applyFont="1" applyFill="1" applyBorder="1" applyAlignment="1">
      <x:alignment vertical="center" wrapText="1"/>
    </x:xf>
    <x:xf numFmtId="0" fontId="5" fillId="6" borderId="1" xfId="0" applyNumberFormat="1" applyFont="1" applyFill="1" applyBorder="1" applyAlignment="1">
      <x:alignment vertical="center" wrapText="1"/>
    </x:xf>
    <x:xf numFmtId="0" fontId="6" fillId="6" borderId="1" xfId="0" applyNumberFormat="1" applyFont="1" applyFill="1" applyBorder="1" applyAlignment="1">
      <x:alignment vertical="center" wrapText="1"/>
    </x:xf>
    <x:xf numFmtId="200" fontId="6" fillId="6" borderId="1" xfId="0" applyNumberFormat="1" applyFont="1" applyFill="1" applyBorder="1" applyAlignment="1">
      <x:alignment vertical="center" wrapText="1"/>
    </x:xf>
    <x:xf numFmtId="201" fontId="6" fillId="6" borderId="1" xfId="0" applyNumberFormat="1" applyFont="1" applyFill="1" applyBorder="1" applyAlignment="1">
      <x:alignment vertical="center" wrapText="1"/>
    </x:xf>
    <x:xf numFmtId="0" fontId="0" fillId="7" borderId="0" xfId="0" applyNumberFormat="1" applyFont="1" applyFill="1" applyBorder="1"/>
    <x:xf numFmtId="0" fontId="7" fillId="7" borderId="0" xfId="0" applyNumberFormat="1" applyFont="1" applyFill="1" applyBorder="1"/>
    <x:xf numFmtId="0" fontId="7" fillId="7" borderId="2" xfId="0" applyNumberFormat="1" applyFont="1" applyFill="1" applyBorder="1"/>
    <x:xf numFmtId="0" fontId="7" fillId="7" borderId="3" xfId="0" applyNumberFormat="1" applyFont="1" applyFill="1" applyBorder="1"/>
    <x:xf numFmtId="0" fontId="7" fillId="7" borderId="4" xfId="0" applyNumberFormat="1" applyFont="1" applyFill="1" applyBorder="1"/>
    <x:xf numFmtId="0" fontId="7" fillId="7" borderId="5" xfId="0" applyNumberFormat="1" applyFont="1" applyFill="1" applyBorder="1"/>
    <x:xf numFmtId="0" fontId="7" fillId="7" borderId="6" xfId="0" applyNumberFormat="1" applyFont="1" applyFill="1" applyBorder="1"/>
    <x:xf numFmtId="0" fontId="7" fillId="7" borderId="7" xfId="0" applyNumberFormat="1" applyFont="1" applyFill="1" applyBorder="1"/>
    <x:xf numFmtId="0" fontId="7" fillId="7" borderId="8" xfId="0" applyNumberFormat="1" applyFont="1" applyFill="1" applyBorder="1"/>
    <x:xf numFmtId="0" fontId="7" fillId="7" borderId="9" xfId="0" applyNumberFormat="1" applyFont="1" applyFill="1" applyBorder="1"/>
    <x:xf numFmtId="0" fontId="7" fillId="7" borderId="2" xfId="0" applyNumberFormat="1" applyFont="1" applyFill="1" applyBorder="1" applyAlignment="1">
      <x:alignment wrapText="1"/>
    </x:xf>
    <x:xf numFmtId="0" fontId="7" fillId="7" borderId="3" xfId="0" applyNumberFormat="1" applyFont="1" applyFill="1" applyBorder="1" applyAlignment="1">
      <x:alignment wrapText="1"/>
    </x:xf>
    <x:xf numFmtId="0" fontId="7" fillId="7" borderId="4" xfId="0" applyNumberFormat="1" applyFont="1" applyFill="1" applyBorder="1" applyAlignment="1">
      <x:alignment wrapText="1"/>
    </x:xf>
    <x:xf numFmtId="0" fontId="7" fillId="7" borderId="5" xfId="0" applyNumberFormat="1" applyFont="1" applyFill="1" applyBorder="1" applyAlignment="1">
      <x:alignment wrapText="1"/>
    </x:xf>
    <x:xf numFmtId="0" fontId="7" fillId="7" borderId="0" xfId="0" applyNumberFormat="1" applyFont="1" applyFill="1" applyBorder="1" applyAlignment="1">
      <x:alignment wrapText="1"/>
    </x:xf>
    <x:xf numFmtId="0" fontId="7" fillId="7" borderId="6" xfId="0" applyNumberFormat="1" applyFont="1" applyFill="1" applyBorder="1" applyAlignment="1">
      <x:alignment wrapText="1"/>
    </x:xf>
    <x:xf numFmtId="0" fontId="7" fillId="7" borderId="7" xfId="0" applyNumberFormat="1" applyFont="1" applyFill="1" applyBorder="1" applyAlignment="1">
      <x:alignment wrapText="1"/>
    </x:xf>
    <x:xf numFmtId="0" fontId="7" fillId="7" borderId="8" xfId="0" applyNumberFormat="1" applyFont="1" applyFill="1" applyBorder="1" applyAlignment="1">
      <x:alignment wrapText="1"/>
    </x:xf>
    <x:xf numFmtId="0" fontId="7" fillId="7" borderId="9" xfId="0" applyNumberFormat="1" applyFont="1" applyFill="1" applyBorder="1" applyAlignment="1">
      <x:alignment wrapText="1"/>
    </x:xf>
    <x:xf numFmtId="0" fontId="7" fillId="7" borderId="2" xfId="0" applyNumberFormat="1" applyFont="1" applyFill="1" applyBorder="1" applyAlignment="1">
      <x:alignment vertical="center" wrapText="1"/>
    </x:xf>
    <x:xf numFmtId="0" fontId="7" fillId="7" borderId="3" xfId="0" applyNumberFormat="1" applyFont="1" applyFill="1" applyBorder="1" applyAlignment="1">
      <x:alignment vertical="center" wrapText="1"/>
    </x:xf>
    <x:xf numFmtId="0" fontId="7" fillId="7" borderId="4" xfId="0" applyNumberFormat="1" applyFont="1" applyFill="1" applyBorder="1" applyAlignment="1">
      <x:alignment vertical="center" wrapText="1"/>
    </x:xf>
    <x:xf numFmtId="0" fontId="7" fillId="7" borderId="5" xfId="0" applyNumberFormat="1" applyFont="1" applyFill="1" applyBorder="1" applyAlignment="1">
      <x:alignment vertical="center" wrapText="1"/>
    </x:xf>
    <x:xf numFmtId="0" fontId="7" fillId="7" borderId="0" xfId="0" applyNumberFormat="1" applyFont="1" applyFill="1" applyBorder="1" applyAlignment="1">
      <x:alignment vertical="center" wrapText="1"/>
    </x:xf>
    <x:xf numFmtId="0" fontId="7" fillId="7" borderId="6" xfId="0" applyNumberFormat="1" applyFont="1" applyFill="1" applyBorder="1" applyAlignment="1">
      <x:alignment vertical="center" wrapText="1"/>
    </x:xf>
    <x:xf numFmtId="0" fontId="7" fillId="7" borderId="7" xfId="0" applyNumberFormat="1" applyFont="1" applyFill="1" applyBorder="1" applyAlignment="1">
      <x:alignment vertical="center" wrapText="1"/>
    </x:xf>
    <x:xf numFmtId="0" fontId="7" fillId="7" borderId="8" xfId="0" applyNumberFormat="1" applyFont="1" applyFill="1" applyBorder="1" applyAlignment="1">
      <x:alignment vertical="center" wrapText="1"/>
    </x:xf>
    <x:xf numFmtId="0" fontId="7" fillId="7" borderId="9" xfId="0" applyNumberFormat="1" applyFont="1" applyFill="1" applyBorder="1" applyAlignment="1">
      <x:alignment vertical="center" wrapText="1"/>
    </x:xf>
    <x:xf numFmtId="0" fontId="8" fillId="0" borderId="1" xfId="0" applyNumberFormat="1" applyFont="1" applyFill="1" applyBorder="1" applyAlignment="1">
      <x:alignment vertical="center" wrapText="1"/>
    </x:xf>
    <x:xf numFmtId="0" fontId="8" fillId="8" borderId="1" xfId="0" applyNumberFormat="1" applyFont="1" applyFill="1" applyBorder="1" applyAlignment="1">
      <x:alignment vertical="center" wrapText="1"/>
    </x:xf>
    <x:xf numFmtId="0" fontId="9" fillId="0" borderId="1" xfId="0" applyNumberFormat="1" applyFont="1" applyFill="1" applyBorder="1" applyAlignment="1">
      <x:alignment vertical="center" wrapText="1"/>
    </x:xf>
    <x:xf numFmtId="0" fontId="10" fillId="0" borderId="1" xfId="0" applyNumberFormat="1" applyFont="1" applyFill="1" applyBorder="1" applyAlignment="1">
      <x:alignment vertical="center" wrapText="1"/>
    </x:xf>
    <x:xf numFmtId="0" fontId="10" fillId="8" borderId="1" xfId="0" applyNumberFormat="1" applyFont="1" applyFill="1" applyBorder="1" applyAlignment="1">
      <x:alignment vertical="center" wrapText="1"/>
    </x:xf>
    <x:xf numFmtId="202" fontId="6" fillId="6" borderId="1" xfId="0" applyNumberFormat="1" applyFont="1" applyFill="1" applyBorder="1" applyAlignment="1">
      <x:alignment vertical="center" wrapText="1"/>
    </x:xf>
    <x:xf numFmtId="202" fontId="8" fillId="0" borderId="1" xfId="0" applyNumberFormat="1" applyFont="1" applyFill="1" applyBorder="1" applyAlignment="1">
      <x:alignment vertical="center" wrapText="1"/>
    </x:xf>
    <x:xf numFmtId="202" fontId="8" fillId="8" borderId="1" xfId="0" applyNumberFormat="1" applyFont="1" applyFill="1" applyBorder="1" applyAlignment="1">
      <x:alignment vertical="center" wrapText="1"/>
    </x:xf>
    <x:xf numFmtId="200" fontId="9" fillId="0" borderId="1" xfId="0" applyNumberFormat="1" applyFont="1" applyFill="1" applyBorder="1" applyAlignment="1">
      <x:alignment vertical="center" wrapText="1"/>
    </x:xf>
    <x:xf numFmtId="200" fontId="8" fillId="0" borderId="1" xfId="0" applyNumberFormat="1" applyFont="1" applyFill="1" applyBorder="1" applyAlignment="1">
      <x:alignment vertical="center" wrapText="1"/>
    </x:xf>
    <x:xf numFmtId="200" fontId="10" fillId="0" borderId="1" xfId="0" applyNumberFormat="1" applyFont="1" applyFill="1" applyBorder="1" applyAlignment="1">
      <x:alignment vertical="center" wrapText="1"/>
    </x:xf>
    <x:xf numFmtId="200" fontId="8" fillId="8" borderId="1" xfId="0" applyNumberFormat="1" applyFont="1" applyFill="1" applyBorder="1" applyAlignment="1">
      <x:alignment vertical="center" wrapText="1"/>
    </x:xf>
    <x:xf numFmtId="200" fontId="10" fillId="8" borderId="1" xfId="0" applyNumberFormat="1" applyFont="1" applyFill="1" applyBorder="1" applyAlignment="1">
      <x:alignment vertical="center" wrapText="1"/>
    </x:xf>
    <x:xf numFmtId="0" fontId="5" fillId="8" borderId="1" xfId="0" applyNumberFormat="1" applyFont="1" applyFill="1" applyBorder="1" applyAlignment="1">
      <x:alignment vertical="center" wrapText="1"/>
    </x:xf>
    <x:xf numFmtId="201" fontId="9" fillId="0" borderId="1" xfId="0" applyNumberFormat="1" applyFont="1" applyFill="1" applyBorder="1" applyAlignment="1">
      <x:alignment vertical="center" wrapText="1"/>
    </x:xf>
    <x:xf numFmtId="201" fontId="8" fillId="8" borderId="1" xfId="0" applyNumberFormat="1" applyFont="1" applyFill="1" applyBorder="1" applyAlignment="1">
      <x:alignment vertical="center" wrapText="1"/>
    </x:xf>
    <x:xf numFmtId="200" fontId="5" fillId="0" borderId="1" xfId="0" applyNumberFormat="1" applyFont="1" applyFill="1" applyBorder="1" applyAlignment="1">
      <x:alignment vertical="center" wrapText="1"/>
    </x:xf>
    <x:xf numFmtId="203" fontId="5" fillId="0" borderId="1" xfId="0" applyNumberFormat="1" applyFont="1" applyFill="1" applyBorder="1" applyAlignment="1">
      <x:alignment vertical="center" wrapText="1"/>
    </x:xf>
    <x:xf numFmtId="203" fontId="9" fillId="0" borderId="1" xfId="0" applyNumberFormat="1" applyFont="1" applyFill="1" applyBorder="1" applyAlignment="1">
      <x:alignment vertical="center" wrapText="1"/>
    </x:xf>
    <x:xf numFmtId="202" fontId="5" fillId="0" borderId="1" xfId="0" applyNumberFormat="1" applyFont="1" applyFill="1" applyBorder="1" applyAlignment="1">
      <x:alignment vertical="center" wrapText="1"/>
    </x:xf>
    <x:xf numFmtId="202" fontId="9" fillId="0" borderId="1" xfId="0" applyNumberFormat="1" applyFont="1" applyFill="1" applyBorder="1" applyAlignment="1">
      <x:alignment vertical="center" wrapText="1"/>
    </x:xf>
    <x:xf numFmtId="0" fontId="5" fillId="7" borderId="1" xfId="0" applyNumberFormat="1" applyFont="1" applyFill="1" applyBorder="1" applyAlignment="1">
      <x:alignment vertical="center" wrapText="1"/>
    </x:xf>
    <x:xf numFmtId="0" fontId="5" fillId="9" borderId="1" xfId="0" applyNumberFormat="1" applyFont="1" applyFill="1" applyBorder="1" applyAlignment="1">
      <x:alignment vertical="center" wrapText="1"/>
    </x:xf>
    <x:xf numFmtId="0" fontId="8" fillId="9" borderId="1" xfId="0" applyNumberFormat="1" applyFont="1" applyFill="1" applyBorder="1" applyAlignment="1">
      <x:alignment vertical="center" wrapText="1"/>
    </x:xf>
    <x:xf numFmtId="0" fontId="11" fillId="0" borderId="0" xfId="0" applyNumberFormat="1" applyFont="1" applyFill="1" applyBorder="1"/>
    <x:xf numFmtId="0" fontId="11" fillId="0" borderId="1" xfId="0" applyNumberFormat="1" applyFont="1" applyFill="1" applyBorder="1"/>
    <x:xf numFmtId="0" fontId="11" fillId="0" borderId="1" xfId="0" applyNumberFormat="1" applyFont="1" applyFill="1" applyBorder="1" applyAlignment="1">
      <x:alignment wrapText="1"/>
    </x:xf>
    <x:xf numFmtId="0" fontId="11" fillId="0" borderId="1" xfId="0" applyNumberFormat="1" applyFont="1" applyFill="1" applyBorder="1" applyAlignment="1">
      <x:alignment vertical="center" wrapText="1"/>
    </x:xf>
    <x:xf numFmtId="0" fontId="12" fillId="0" borderId="1" xfId="0" applyNumberFormat="1" applyFont="1" applyFill="1" applyBorder="1" applyAlignment="1">
      <x:alignment vertical="center" wrapText="1"/>
    </x:xf>
    <x:xf numFmtId="0" fontId="12" fillId="7" borderId="1" xfId="0" applyNumberFormat="1" applyFont="1" applyFill="1" applyBorder="1" applyAlignment="1">
      <x:alignment vertical="center" wrapText="1"/>
    </x:xf>
    <x:xf numFmtId="0" fontId="11" fillId="7" borderId="1" xfId="0" applyNumberFormat="1" applyFont="1" applyFill="1" applyBorder="1" applyAlignment="1">
      <x:alignment vertical="center" wrapText="1"/>
    </x:xf>
    <x:xf numFmtId="0" fontId="13" fillId="7" borderId="1" xfId="0" applyNumberFormat="1" applyFont="1" applyFill="1" applyBorder="1" applyAlignment="1">
      <x:alignment vertical="center" wrapText="1"/>
    </x:xf>
    <x:xf numFmtId="200" fontId="11" fillId="0" borderId="1" xfId="0" applyNumberFormat="1" applyFont="1" applyFill="1" applyBorder="1" applyAlignment="1">
      <x:alignment vertical="center" wrapText="1"/>
    </x:xf>
    <x:xf numFmtId="0" fontId="5" fillId="5" borderId="1" xfId="0" applyNumberFormat="1" applyFont="1" applyFill="1" applyBorder="1" applyAlignment="1">
      <x:alignment vertical="center" wrapText="1"/>
    </x:xf>
    <x:xf numFmtId="0" fontId="14" fillId="5" borderId="1" xfId="0" applyNumberFormat="1" applyFont="1" applyFill="1" applyBorder="1" applyAlignment="1">
      <x:alignment vertical="center" wrapText="1"/>
    </x:xf>
    <x:xf numFmtId="0" fontId="15" fillId="2" borderId="0" xfId="0" applyNumberFormat="1" applyFont="1" applyFill="1" applyBorder="1" applyAlignment="1">
      <x:alignment vertical="center" wrapText="1"/>
    </x:xf>
    <x:xf numFmtId="0" fontId="16" fillId="3" borderId="0" xfId="0" applyNumberFormat="1" applyFont="1" applyFill="1" applyBorder="1" applyAlignment="1">
      <x:alignment vertical="center" wrapText="1"/>
    </x:xf>
    <x:xf numFmtId="0" fontId="17" fillId="4" borderId="0" xfId="0" applyNumberFormat="1" applyFont="1" applyFill="1" applyBorder="1" applyAlignment="1">
      <x:alignment vertical="center" wrapText="1"/>
    </x:xf>
    <x:xf numFmtId="0" fontId="18" fillId="0" borderId="0" xfId="0" applyNumberFormat="1" applyFont="1" applyFill="1" applyBorder="1"/>
    <x:xf numFmtId="0" fontId="19" fillId="7" borderId="1" xfId="0" applyNumberFormat="1" applyFont="1" applyFill="1" applyBorder="1" applyAlignment="1">
      <x:alignment vertical="center" wrapText="1"/>
    </x:xf>
    <x:xf numFmtId="0" fontId="20" fillId="7" borderId="1" xfId="0" applyNumberFormat="1" applyFont="1" applyFill="1" applyBorder="1" applyAlignment="1">
      <x:alignment vertical="center" wrapText="1"/>
    </x:xf>
    <x:xf numFmtId="0" fontId="19" fillId="0" borderId="1" xfId="0" applyNumberFormat="1" applyFont="1" applyFill="1" applyBorder="1" applyAlignment="1">
      <x:alignment vertical="center" wrapText="1"/>
    </x:xf>
    <x:xf numFmtId="200" fontId="21" fillId="0" borderId="1" xfId="0" applyNumberFormat="1" applyFont="1" applyFill="1" applyBorder="1" applyAlignment="1">
      <x:alignment vertical="center" wrapText="1"/>
    </x:xf>
    <x:xf numFmtId="0" fontId="22" fillId="5" borderId="1" xfId="0" applyNumberFormat="1" applyFont="1" applyFill="1" applyBorder="1" applyAlignment="1">
      <x:alignment horizontal="center" vertical="center" wrapText="1"/>
    </x:xf>
    <x:xf numFmtId="0" fontId="23" fillId="5" borderId="1" xfId="0" applyNumberFormat="1" applyFont="1" applyFill="1" applyBorder="1" applyAlignment="1">
      <x:alignment vertical="center" wrapText="1"/>
    </x:xf>
    <x:xf numFmtId="0" fontId="24" fillId="0" borderId="1" xfId="0" applyNumberFormat="1" applyFont="1" applyFill="1" applyBorder="1" applyAlignment="1">
      <x:alignment vertical="center" wrapText="1"/>
    </x:xf>
    <x:xf numFmtId="200" fontId="24" fillId="0" borderId="1" xfId="0" applyNumberFormat="1" applyFont="1" applyFill="1" applyBorder="1" applyAlignment="1">
      <x:alignment vertical="center" wrapText="1"/>
    </x:xf>
    <x:xf numFmtId="0" fontId="25" fillId="0" borderId="1" xfId="0" applyNumberFormat="1" applyFont="1" applyFill="1" applyBorder="1" applyAlignment="1">
      <x:alignment vertical="center" wrapText="1"/>
    </x:xf>
    <x:xf numFmtId="0" fontId="26" fillId="7" borderId="2" xfId="0" applyNumberFormat="1" applyFont="1" applyFill="1" applyBorder="1" applyAlignment="1">
      <x:alignment vertical="center" wrapText="1"/>
    </x:xf>
    <x:xf numFmtId="0" fontId="26" fillId="7" borderId="3" xfId="0" applyNumberFormat="1" applyFont="1" applyFill="1" applyBorder="1" applyAlignment="1">
      <x:alignment vertical="center" wrapText="1"/>
    </x:xf>
    <x:xf numFmtId="0" fontId="26" fillId="7" borderId="4" xfId="0" applyNumberFormat="1" applyFont="1" applyFill="1" applyBorder="1" applyAlignment="1">
      <x:alignment vertical="center" wrapText="1"/>
    </x:xf>
    <x:xf numFmtId="0" fontId="26" fillId="7" borderId="5" xfId="0" applyNumberFormat="1" applyFont="1" applyFill="1" applyBorder="1" applyAlignment="1">
      <x:alignment vertical="center" wrapText="1"/>
    </x:xf>
    <x:xf numFmtId="0" fontId="26" fillId="7" borderId="0" xfId="0" applyNumberFormat="1" applyFont="1" applyFill="1" applyBorder="1" applyAlignment="1">
      <x:alignment vertical="center" wrapText="1"/>
    </x:xf>
    <x:xf numFmtId="0" fontId="26" fillId="7" borderId="6" xfId="0" applyNumberFormat="1" applyFont="1" applyFill="1" applyBorder="1" applyAlignment="1">
      <x:alignment vertical="center" wrapText="1"/>
    </x:xf>
    <x:xf numFmtId="0" fontId="26" fillId="7" borderId="7" xfId="0" applyNumberFormat="1" applyFont="1" applyFill="1" applyBorder="1" applyAlignment="1">
      <x:alignment vertical="center" wrapText="1"/>
    </x:xf>
    <x:xf numFmtId="0" fontId="26" fillId="7" borderId="8" xfId="0" applyNumberFormat="1" applyFont="1" applyFill="1" applyBorder="1" applyAlignment="1">
      <x:alignment vertical="center" wrapText="1"/>
    </x:xf>
    <x:xf numFmtId="0" fontId="26" fillId="7" borderId="9" xfId="0" applyNumberFormat="1" applyFont="1" applyFill="1" applyBorder="1" applyAlignment="1">
      <x:alignment vertical="center" wrapText="1"/>
    </x:xf>
    <x:xf numFmtId="0" fontId="18" fillId="0" borderId="0" xfId="0" applyNumberFormat="1" applyFont="1" applyFill="1" applyBorder="1" applyAlignment="1">
      <x:alignment vertical="center"/>
    </x:xf>
    <x:xf numFmtId="0" fontId="18" fillId="0" borderId="0" xfId="0" applyNumberFormat="1" applyFont="1" applyFill="1" applyBorder="1" applyAlignment="1">
      <x:alignment vertical="center" wrapText="1"/>
    </x:xf>
    <x:xf numFmtId="0" fontId="27" fillId="6" borderId="1" xfId="0" applyNumberFormat="1" applyFont="1" applyFill="1" applyBorder="1" applyAlignment="1">
      <x:alignment vertical="center" wrapText="1"/>
    </x:xf>
    <x:xf numFmtId="200" fontId="27" fillId="6" borderId="1" xfId="0" applyNumberFormat="1" applyFont="1" applyFill="1" applyBorder="1" applyAlignment="1">
      <x:alignment vertical="center" wrapText="1"/>
    </x:xf>
    <x:xf numFmtId="201" fontId="27" fillId="6" borderId="1" xfId="0" applyNumberFormat="1" applyFont="1" applyFill="1" applyBorder="1" applyAlignment="1">
      <x:alignment vertical="center" wrapText="1"/>
    </x:xf>
    <x:xf numFmtId="202" fontId="27" fillId="6" borderId="1" xfId="0" applyNumberFormat="1" applyFont="1" applyFill="1" applyBorder="1" applyAlignment="1">
      <x:alignment vertical="center" wrapText="1"/>
    </x:xf>
    <x:xf numFmtId="0" fontId="28" fillId="0" borderId="1" xfId="0" applyNumberFormat="1" applyFont="1" applyFill="1" applyBorder="1" applyAlignment="1">
      <x:alignment vertical="center" wrapText="1"/>
    </x:xf>
    <x:xf numFmtId="202" fontId="28" fillId="0" borderId="1" xfId="0" applyNumberFormat="1" applyFont="1" applyFill="1" applyBorder="1" applyAlignment="1">
      <x:alignment vertical="center" wrapText="1"/>
    </x:xf>
    <x:xf numFmtId="200" fontId="28" fillId="0" borderId="1" xfId="0" applyNumberFormat="1" applyFont="1" applyFill="1" applyBorder="1" applyAlignment="1">
      <x:alignment vertical="center" wrapText="1"/>
    </x:xf>
    <x:xf numFmtId="200" fontId="29" fillId="0" borderId="1" xfId="0" applyNumberFormat="1" applyFont="1" applyFill="1" applyBorder="1" applyAlignment="1">
      <x:alignment vertical="center" wrapText="1"/>
    </x:xf>
    <x:xf numFmtId="0" fontId="28" fillId="8" borderId="1" xfId="0" applyNumberFormat="1" applyFont="1" applyFill="1" applyBorder="1" applyAlignment="1">
      <x:alignment vertical="center" wrapText="1"/>
    </x:xf>
    <x:xf numFmtId="202" fontId="28" fillId="8" borderId="1" xfId="0" applyNumberFormat="1" applyFont="1" applyFill="1" applyBorder="1" applyAlignment="1">
      <x:alignment vertical="center" wrapText="1"/>
    </x:xf>
    <x:xf numFmtId="200" fontId="28" fillId="8" borderId="1" xfId="0" applyNumberFormat="1" applyFont="1" applyFill="1" applyBorder="1" applyAlignment="1">
      <x:alignment vertical="center" wrapText="1"/>
    </x:xf>
    <x:xf numFmtId="200" fontId="29" fillId="8" borderId="1" xfId="0" applyNumberFormat="1" applyFont="1" applyFill="1" applyBorder="1" applyAlignment="1">
      <x:alignment vertical="center" wrapText="1"/>
    </x:xf>
    <x:xf numFmtId="201" fontId="24" fillId="0" borderId="1" xfId="0" applyNumberFormat="1" applyFont="1" applyFill="1" applyBorder="1" applyAlignment="1">
      <x:alignment vertical="center" wrapText="1"/>
    </x:xf>
    <x:xf numFmtId="201" fontId="28" fillId="8" borderId="1" xfId="0" applyNumberFormat="1" applyFont="1" applyFill="1" applyBorder="1" applyAlignment="1">
      <x:alignment vertical="center" wrapText="1"/>
    </x:xf>
    <x:xf numFmtId="200" fontId="25" fillId="0" borderId="1" xfId="0" applyNumberFormat="1" applyFont="1" applyFill="1" applyBorder="1" applyAlignment="1">
      <x:alignment vertical="center" wrapText="1"/>
    </x:xf>
    <x:xf numFmtId="203" fontId="25" fillId="0" borderId="1" xfId="0" applyNumberFormat="1" applyFont="1" applyFill="1" applyBorder="1" applyAlignment="1">
      <x:alignment vertical="center" wrapText="1"/>
    </x:xf>
    <x:xf numFmtId="203" fontId="24" fillId="0" borderId="1" xfId="0" applyNumberFormat="1" applyFont="1" applyFill="1" applyBorder="1" applyAlignment="1">
      <x:alignment vertical="center" wrapText="1"/>
    </x:xf>
    <x:xf numFmtId="202" fontId="25" fillId="0" borderId="1" xfId="0" applyNumberFormat="1" applyFont="1" applyFill="1" applyBorder="1" applyAlignment="1">
      <x:alignment vertical="center" wrapText="1"/>
    </x:xf>
    <x:xf numFmtId="202" fontId="24" fillId="0" borderId="1" xfId="0" applyNumberFormat="1" applyFont="1" applyFill="1" applyBorder="1" applyAlignment="1">
      <x:alignment vertical="center" wrapText="1"/>
    </x:xf>
    <x:xf numFmtId="0" fontId="25" fillId="7" borderId="1" xfId="0" applyNumberFormat="1" applyFont="1" applyFill="1" applyBorder="1" applyAlignment="1">
      <x:alignment vertical="center" wrapText="1"/>
    </x:xf>
    <x:xf numFmtId="0" fontId="28" fillId="9" borderId="1" xfId="0" applyNumberFormat="1" applyFont="1" applyFill="1" applyBorder="1" applyAlignment="1">
      <x:alignment vertical="center" wrapText="1"/>
    </x:xf>
    <x:xf numFmtId="0" fontId="30" fillId="0" borderId="0" xfId="0" applyNumberFormat="1" applyFont="1" applyFill="1" applyBorder="1"/>
    <x:xf numFmtId="0" fontId="30" fillId="0" borderId="0" xfId="0" applyNumberFormat="1" applyFont="1" applyFill="1" applyBorder="1" applyAlignment="1">
      <x:alignment wrapText="1"/>
    </x:xf>
    <x:xf numFmtId="0" fontId="30" fillId="0" borderId="0" xfId="0" applyNumberFormat="1" applyFont="1" applyFill="1" applyBorder="1" applyAlignment="1">
      <x:alignment vertical="center" wrapText="1"/>
    </x:xf>
    <x:xf numFmtId="0" fontId="30" fillId="10" borderId="0" xfId="0" applyNumberFormat="1" applyFont="1" applyFill="1" applyBorder="1" applyAlignment="1">
      <x:alignment vertical="center" wrapText="1"/>
    </x:xf>
    <x:xf numFmtId="0" fontId="31" fillId="10" borderId="0" xfId="0" applyNumberFormat="1" applyFont="1" applyFill="1" applyBorder="1" applyAlignment="1">
      <x:alignment vertical="center" wrapText="1"/>
    </x:xf>
    <x:xf numFmtId="0" fontId="30" fillId="11" borderId="0" xfId="0" applyNumberFormat="1" applyFont="1" applyFill="1" applyBorder="1" applyAlignment="1">
      <x:alignment vertical="center" wrapText="1"/>
    </x:xf>
    <x:xf numFmtId="0" fontId="32" fillId="11" borderId="0" xfId="0" applyNumberFormat="1" applyFont="1" applyFill="1" applyBorder="1" applyAlignment="1">
      <x:alignment vertical="center" wrapText="1"/>
    </x:xf>
    <x:xf numFmtId="0" fontId="17" fillId="10" borderId="0" xfId="0" applyNumberFormat="1" applyFont="1" applyFill="1" applyBorder="1" applyAlignment="1">
      <x:alignment vertical="center" wrapText="1"/>
    </x:xf>
    <x:xf numFmtId="0" fontId="33" fillId="0" borderId="0" xfId="0" applyNumberFormat="1" applyFont="1" applyFill="1" applyBorder="1" applyAlignment="1">
      <x:alignment vertical="center" wrapText="1"/>
    </x:xf>
    <x:xf numFmtId="204" fontId="30" fillId="0" borderId="0" xfId="0" applyNumberFormat="1" applyFont="1" applyFill="1" applyBorder="1" applyAlignment="1">
      <x:alignment vertical="center" wrapText="1"/>
    </x:xf>
    <x:xf numFmtId="204" fontId="33" fillId="0" borderId="0" xfId="0" applyNumberFormat="1" applyFont="1" applyFill="1" applyBorder="1" applyAlignment="1">
      <x:alignment vertical="center" wrapText="1"/>
    </x:xf>
    <x:xf numFmtId="204" fontId="30" fillId="11" borderId="0" xfId="0" applyNumberFormat="1" applyFont="1" applyFill="1" applyBorder="1" applyAlignment="1">
      <x:alignment vertical="center" wrapText="1"/>
    </x:xf>
    <x:xf numFmtId="0" fontId="15" fillId="10" borderId="0" xfId="0" applyNumberFormat="1" applyFont="1" applyFill="1" applyBorder="1" applyAlignment="1">
      <x:alignment vertical="center" wrapText="1"/>
    </x:xf>
    <x:xf numFmtId="0" fontId="0" fillId="10" borderId="0" xfId="0" applyNumberFormat="1" applyFont="1" applyFill="1" applyBorder="1"/>
    <x:xf numFmtId="0" fontId="34" fillId="1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1e5fa530d7140f3" /><Relationship Type="http://schemas.openxmlformats.org/officeDocument/2006/relationships/theme" Target="/xl/theme/theme1.xml" Id="R417c880a0248484b" /><Relationship Type="http://schemas.openxmlformats.org/officeDocument/2006/relationships/sharedStrings" Target="/xl/sharedStrings.xml" Id="R511da49c01584fcd" /><Relationship Type="http://schemas.openxmlformats.org/officeDocument/2006/relationships/worksheet" Target="/xl/worksheets/sheet1.xml" Id="R3c8f8427ba5f4401" /><Relationship Type="http://schemas.openxmlformats.org/officeDocument/2006/relationships/worksheet" Target="/xl/worksheets/sheet2.xml" Id="R961fbb19017a40f8" /><Relationship Type="http://schemas.openxmlformats.org/officeDocument/2006/relationships/worksheet" Target="/xl/worksheets/sheet3.xml" Id="R57016ccbbd4248f9" /><Relationship Type="http://schemas.openxmlformats.org/officeDocument/2006/relationships/worksheet" Target="/xl/worksheets/sheet4.xml" Id="R1d5291ccd7c54d76" /><Relationship Type="http://schemas.openxmlformats.org/officeDocument/2006/relationships/worksheet" Target="/xl/worksheets/sheet5.xml" Id="Rfabec177bd594658" /><Relationship Type="http://schemas.openxmlformats.org/officeDocument/2006/relationships/worksheet" Target="/xl/worksheets/sheet6.xml" Id="R37c9c24685164bba" /><Relationship Type="http://schemas.openxmlformats.org/officeDocument/2006/relationships/worksheet" Target="/xl/worksheets/sheet7.xml" Id="Refa33c1abcc44ee2" /><Relationship Type="http://schemas.openxmlformats.org/officeDocument/2006/relationships/worksheet" Target="/xl/worksheets/sheet8.xml" Id="R90eacb7ca98e416e" /><Relationship Type="http://schemas.openxmlformats.org/officeDocument/2006/relationships/worksheet" Target="/xl/worksheets/sheet9.xml" Id="R50d1aabf21974534" /><Relationship Type="http://schemas.openxmlformats.org/officeDocument/2006/relationships/worksheet" Target="/xl/worksheets/sheet10.xml" Id="Rd42df6b8f3c1466c" /><Relationship Type="http://schemas.openxmlformats.org/officeDocument/2006/relationships/worksheet" Target="/xl/worksheets/sheet11.xml" Id="R25efc97cccc44b1f" /><Relationship Type="http://schemas.openxmlformats.org/officeDocument/2006/relationships/worksheet" Target="/xl/worksheets/sheet12.xml" Id="R011c5a6d29194603" /><Relationship Type="http://schemas.openxmlformats.org/officeDocument/2006/relationships/worksheet" Target="/xl/worksheets/sheet13.xml" Id="Rf0cb130c9ef046c2" /><Relationship Type="http://schemas.openxmlformats.org/officeDocument/2006/relationships/worksheet" Target="/xl/worksheets/sheet14.xml" Id="R1759009381e148fe" /><Relationship Type="http://schemas.openxmlformats.org/officeDocument/2006/relationships/worksheet" Target="/xl/worksheets/sheet15.xml" Id="R15738c40e87b4b02" /><Relationship Type="http://schemas.openxmlformats.org/officeDocument/2006/relationships/worksheet" Target="/xl/worksheets/sheet16.xml" Id="R39c89804bd834f28" /><Relationship Type="http://schemas.openxmlformats.org/officeDocument/2006/relationships/worksheet" Target="/xl/worksheets/sheet17.xml" Id="R7c780150e2134a41" /><Relationship Type="http://schemas.openxmlformats.org/officeDocument/2006/relationships/worksheet" Target="/xl/worksheets/sheet18.xml" Id="R22f0b99066eb4b90" /><Relationship Type="http://schemas.openxmlformats.org/officeDocument/2006/relationships/worksheet" Target="/xl/worksheets/sheet19.xml" Id="Rbce0b0b4a31946e9" /><Relationship Type="http://schemas.openxmlformats.org/officeDocument/2006/relationships/worksheet" Target="/xl/worksheets/sheet20.xml" Id="Rea33400c321045e5" /></Relationships>
</file>

<file path=xl/drawings/_rels/drawing1.xml.rels>&#65279;<?xml version="1.0" encoding="utf-8"?><Relationships xmlns="http://schemas.openxmlformats.org/package/2006/relationships"><Relationship Type="http://schemas.openxmlformats.org/officeDocument/2006/relationships/chart" Target="/xl/drawings/charts/chart1.xml" Id="R6f325ab2bc864d5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Doanh thu – chi phí vận hành – kết quả</a:t>
            </a:r>
          </a:p>
        </c:rich>
      </c:tx>
      <c:overlay val="0"/>
    </c:title>
    <c:plotArea>
      <c:barChart>
        <c:barDir val="col"/>
        <c:varyColors val="0"/>
        <c:ser>
          <c:idx val="0"/>
          <c:order val="0"/>
          <c:tx>
            <c:v>Doanh thu</c:v>
          </c:tx>
          <c:cat>
            <c:strRef>
              <c:f>'TOM_TAT'!$A$23:$A$25</c:f>
              <c:strCache>
                <c:ptCount val="0"/>
              </c:strCache>
            </c:strRef>
          </c:cat>
          <c:val>
            <c:numRef>
              <c:f>'TOM_TAT'!$B$23:$B$25</c:f>
              <c:numCache>
                <c:formatCode>#,##0</c:formatCode>
                <c:ptCount val="0"/>
              </c:numCache>
            </c:numRef>
          </c:val>
        </c:ser>
        <c:ser>
          <c:idx val="1"/>
          <c:order val="1"/>
          <c:tx>
            <c:v>Chi phí vận hành</c:v>
          </c:tx>
          <c:cat>
            <c:strRef>
              <c:f>'TOM_TAT'!$A$23:$A$25</c:f>
              <c:strCache>
                <c:ptCount val="0"/>
              </c:strCache>
            </c:strRef>
          </c:cat>
          <c:val>
            <c:numRef>
              <c:f>'TOM_TAT'!$C$23:$C$25</c:f>
              <c:numCache>
                <c:formatCode>#,##0</c:formatCode>
                <c:ptCount val="0"/>
              </c:numCache>
            </c:numRef>
          </c:val>
        </c:ser>
        <c:ser>
          <c:idx val="2"/>
          <c:order val="2"/>
          <c:tx>
            <c:v>Kết quả vận hành</c:v>
          </c:tx>
          <c:cat>
            <c:strRef>
              <c:f>'TOM_TAT'!$A$23:$A$25</c:f>
              <c:strCache>
                <c:ptCount val="0"/>
              </c:strCache>
            </c:strRef>
          </c:cat>
          <c:val>
            <c:numRef>
              <c:f>'TOM_TAT'!$D$23:$D$25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7</xdr:col>
      <xdr:colOff>0</xdr:colOff>
      <xdr:row>3</xdr:row>
      <xdr:rowOff>0</xdr:rowOff>
    </xdr:from>
    <xdr:to>
      <xdr:col>16</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f325ab2bc864d5a"/>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5b558addf88452a" /></Relationships>
</file>

<file path=xl/worksheets/sheet1.xml><?xml version="1.0" encoding="utf-8"?>
<worksheet xmlns="http://schemas.openxmlformats.org/spreadsheetml/2006/main" xmlns:ns1="http://schemas.openxmlformats.org/officeDocument/2006/relationships">
  <sheetViews>
    <sheetView showGridLines="0" workbookViewId="0"/>
  </sheetViews>
  <sheetFormatPr defaultRowHeight="15"/>
  <cols>
    <col min="1" max="1" width="32" hidden="0" customWidth="1"/>
    <col min="2" max="2" width="30" hidden="0" customWidth="1"/>
    <col min="3" max="3" width="18" hidden="0" customWidth="1"/>
    <col min="4" max="4" width="18" hidden="0" customWidth="1"/>
    <col min="5" max="5" width="18" hidden="0" customWidth="1"/>
    <col min="6" max="6" width="18" hidden="0" customWidth="1"/>
    <col min="7" max="7" width="3" hidden="0" customWidth="1"/>
    <col min="8" max="8" width="21" hidden="0" customWidth="1"/>
    <col min="9" max="9" width="21" hidden="0" customWidth="1"/>
    <col min="10" max="10" width="21" hidden="0" customWidth="1"/>
    <col min="11" max="11" width="21" hidden="0" customWidth="1"/>
    <col min="12" max="12" width="21" hidden="0" customWidth="1"/>
    <col min="13" max="13" width="21" hidden="0" customWidth="1"/>
    <col min="14" max="14" width="21" hidden="0" customWidth="1"/>
    <col min="15" max="15" width="21" hidden="0" customWidth="1"/>
    <col min="16" max="16" width="21" hidden="0" customWidth="1"/>
  </cols>
  <sheetData>
    <row r="1" ht="42" hidden="0" customHeight="1">
      <c r="A1" s="147" t="str">
        <v>DONGSON AGRIMEX – MÔ HÌNH ỚT CHÁNH PHONG 04 01 HA</v>
      </c>
      <c r="B1" s="147"/>
      <c r="C1" s="147"/>
      <c r="D1" s="147"/>
      <c r="E1" s="147"/>
      <c r="F1" s="147"/>
      <c r="G1" s="147"/>
      <c r="H1" s="90"/>
      <c r="I1" s="90"/>
      <c r="J1" s="90"/>
      <c r="K1" s="90"/>
      <c r="L1" s="90"/>
      <c r="M1" s="90"/>
      <c r="N1" s="90"/>
      <c r="O1" s="90"/>
      <c r="P1" s="90"/>
    </row>
    <row r="2" ht="42" customHeight="1">
      <c r="A2" s="91" t="str">
        <v>Rev.E: 15 trang cơ sở Rev.D được giữ để đối chiếu. ĐỌC REV_E để xem chi phí mới; MUA_CONG, THU_NGHIEM và NHAT_KY_MUA là nội dung bổ sung.</v>
      </c>
      <c r="B2" s="91"/>
      <c r="C2" s="91"/>
      <c r="D2" s="91"/>
      <c r="E2" s="91"/>
      <c r="F2" s="91"/>
      <c r="G2" s="91"/>
      <c r="H2" s="91"/>
      <c r="I2" s="91"/>
      <c r="J2" s="91"/>
      <c r="K2" s="91"/>
      <c r="L2" s="91"/>
      <c r="M2" s="91"/>
      <c r="N2" s="91"/>
      <c r="O2" s="91"/>
      <c r="P2" s="91"/>
    </row>
    <row r="3">
      <c r="A3" s="91"/>
      <c r="B3" s="91"/>
      <c r="C3" s="91"/>
      <c r="D3" s="91"/>
      <c r="E3" s="91"/>
      <c r="F3" s="91"/>
      <c r="G3" s="91"/>
      <c r="H3" s="91"/>
      <c r="I3" s="91"/>
      <c r="J3" s="91"/>
      <c r="K3" s="91"/>
      <c r="L3" s="91"/>
      <c r="M3" s="91"/>
      <c r="N3" s="91"/>
      <c r="O3" s="91"/>
      <c r="P3" s="91"/>
    </row>
    <row r="4" ht="15" hidden="0" customHeight="1">
      <c r="A4" s="92" t="str">
        <v>CƠ SỞ Rev.D — CHƯA CỘNG CHI PHÍ BỔ SUNG</v>
      </c>
      <c r="B4" s="92"/>
      <c r="C4" s="92"/>
      <c r="D4" s="92"/>
      <c r="E4" s="92"/>
      <c r="F4" s="92"/>
      <c r="G4" s="113"/>
      <c r="H4" s="113"/>
      <c r="I4" s="113"/>
      <c r="J4" s="113"/>
      <c r="K4" s="113"/>
      <c r="L4" s="113"/>
      <c r="M4" s="113"/>
      <c r="N4" s="113"/>
      <c r="O4" s="113"/>
      <c r="P4" s="113"/>
    </row>
    <row r="5" ht="21.600000381469727" hidden="0" customHeight="1">
      <c r="A5" s="94" t="str">
        <v>Trạng thái</v>
      </c>
      <c r="B5" s="95" t="str">
        <v>CHƯA PHÊ DUYỆT – cần hợp đồng giá và dữ liệu lô thử</v>
      </c>
      <c r="C5" s="113"/>
      <c r="D5" s="113"/>
      <c r="E5" s="113"/>
      <c r="F5" s="113"/>
      <c r="G5" s="113"/>
      <c r="H5" s="113"/>
      <c r="I5" s="113"/>
      <c r="J5" s="113"/>
      <c r="K5" s="113"/>
      <c r="L5" s="113"/>
      <c r="M5" s="113"/>
      <c r="N5" s="113"/>
      <c r="O5" s="113"/>
      <c r="P5" s="113"/>
    </row>
    <row r="6" ht="15" hidden="0" customHeight="1">
      <c r="A6" s="96" t="str">
        <v>Chi phí vận hành có phân bổ</v>
      </c>
      <c r="B6" s="97" t="n">
        <f>CHI_PHI_VU!G42</f>
        <v>440774250</v>
      </c>
      <c r="C6" s="113"/>
      <c r="D6" s="113"/>
      <c r="E6" s="113"/>
      <c r="F6" s="113"/>
      <c r="G6" s="113"/>
      <c r="H6" s="113"/>
      <c r="I6" s="113"/>
      <c r="J6" s="113"/>
      <c r="K6" s="113"/>
      <c r="L6" s="113"/>
      <c r="M6" s="113"/>
      <c r="N6" s="113"/>
      <c r="O6" s="113"/>
      <c r="P6" s="113"/>
    </row>
    <row r="7" ht="15" hidden="0" customHeight="1">
      <c r="A7" s="96" t="str">
        <v>Chi phí vận hành tiền mặt</v>
      </c>
      <c r="B7" s="97" t="n">
        <f>NGUONG_DAU_TU!C10</f>
        <v>436663500</v>
      </c>
      <c r="C7" s="113"/>
      <c r="D7" s="113"/>
      <c r="E7" s="113"/>
      <c r="F7" s="113"/>
      <c r="G7" s="113"/>
      <c r="H7" s="113"/>
      <c r="I7" s="113"/>
      <c r="J7" s="113"/>
      <c r="K7" s="113"/>
      <c r="L7" s="113"/>
      <c r="M7" s="113"/>
      <c r="N7" s="113"/>
      <c r="O7" s="113"/>
      <c r="P7" s="113"/>
    </row>
    <row r="8" ht="15" hidden="0" customHeight="1">
      <c r="A8" s="96" t="str">
        <v>Chi phí kế toán sau quản trị</v>
      </c>
      <c r="B8" s="97" t="n">
        <f>NGUONG_DAU_TU!C14</f>
        <v>477321833.3333333</v>
      </c>
      <c r="C8" s="113"/>
      <c r="D8" s="113"/>
      <c r="E8" s="113"/>
      <c r="F8" s="113"/>
      <c r="G8" s="113"/>
      <c r="H8" s="113"/>
      <c r="I8" s="113"/>
      <c r="J8" s="113"/>
      <c r="K8" s="113"/>
      <c r="L8" s="113"/>
      <c r="M8" s="113"/>
      <c r="N8" s="113"/>
      <c r="O8" s="113"/>
      <c r="P8" s="113"/>
    </row>
    <row r="9" ht="15" hidden="0" customHeight="1">
      <c r="A9" s="96" t="str">
        <v>Chi phí sau lãi minh họa</v>
      </c>
      <c r="B9" s="97" t="n">
        <f>NGUONG_DAU_TU!C16</f>
        <v>487001833.3333333</v>
      </c>
      <c r="C9" s="113"/>
      <c r="D9" s="113"/>
      <c r="E9" s="113"/>
      <c r="F9" s="113"/>
      <c r="G9" s="113"/>
      <c r="H9" s="113"/>
      <c r="I9" s="113"/>
      <c r="J9" s="113"/>
      <c r="K9" s="113"/>
      <c r="L9" s="113"/>
      <c r="M9" s="113"/>
      <c r="N9" s="113"/>
      <c r="O9" s="113"/>
      <c r="P9" s="113"/>
    </row>
    <row r="10" ht="15" hidden="0" customHeight="1">
      <c r="A10" s="96" t="str">
        <v>Kết quả vận hành có phân bổ</v>
      </c>
      <c r="B10" s="97" t="n">
        <f>KICH_BAN!M6</f>
        <v>-176774250</v>
      </c>
      <c r="C10" s="113"/>
      <c r="D10" s="113"/>
      <c r="E10" s="113"/>
      <c r="F10" s="113"/>
      <c r="G10" s="113"/>
      <c r="H10" s="113"/>
      <c r="I10" s="113"/>
      <c r="J10" s="113"/>
      <c r="K10" s="113"/>
      <c r="L10" s="113"/>
      <c r="M10" s="113"/>
      <c r="N10" s="113"/>
      <c r="O10" s="113"/>
      <c r="P10" s="113"/>
    </row>
    <row r="11" ht="15" hidden="0" customHeight="1">
      <c r="A11" s="96" t="str">
        <v>Kết quả kế toán sau lãi</v>
      </c>
      <c r="B11" s="97" t="n">
        <f>KICH_BAN!P6</f>
        <v>-223001833.3333333</v>
      </c>
      <c r="C11" s="113"/>
      <c r="D11" s="113"/>
      <c r="E11" s="113"/>
      <c r="F11" s="113"/>
      <c r="G11" s="113"/>
      <c r="H11" s="113"/>
      <c r="I11" s="113"/>
      <c r="J11" s="113"/>
      <c r="K11" s="113"/>
      <c r="L11" s="113"/>
      <c r="M11" s="113"/>
      <c r="N11" s="113"/>
      <c r="O11" s="113"/>
      <c r="P11" s="113"/>
    </row>
    <row r="12" ht="15" hidden="0" customHeight="1">
      <c r="A12" s="96" t="str">
        <v>Hòa vốn sau lãi</v>
      </c>
      <c r="B12" s="97" t="n">
        <f>NGUONG_DAU_TU!C23</f>
        <v>26889</v>
      </c>
      <c r="C12" s="113"/>
      <c r="D12" s="113"/>
      <c r="E12" s="113"/>
      <c r="F12" s="113"/>
      <c r="G12" s="113"/>
      <c r="H12" s="113"/>
      <c r="I12" s="113"/>
      <c r="J12" s="113"/>
      <c r="K12" s="113"/>
      <c r="L12" s="113"/>
      <c r="M12" s="113"/>
      <c r="N12" s="113"/>
      <c r="O12" s="113"/>
      <c r="P12" s="113"/>
    </row>
    <row r="13" ht="15" hidden="0" customHeight="1">
      <c r="A13" s="96" t="str">
        <v>Giá biên 15% sau lãi</v>
      </c>
      <c r="B13" s="97" t="n">
        <f>NGUONG_DAU_TU!C24</f>
        <v>31664</v>
      </c>
      <c r="C13" s="113"/>
      <c r="D13" s="113"/>
      <c r="E13" s="113"/>
      <c r="F13" s="113"/>
      <c r="G13" s="113"/>
      <c r="H13" s="113"/>
      <c r="I13" s="113"/>
      <c r="J13" s="113"/>
      <c r="K13" s="113"/>
      <c r="L13" s="113"/>
      <c r="M13" s="113"/>
      <c r="N13" s="113"/>
      <c r="O13" s="113"/>
      <c r="P13" s="113"/>
    </row>
    <row r="14" ht="15" hidden="0" customHeight="1">
      <c r="A14" s="96" t="str">
        <v>Vốn lưu động – lịch trung tâm</v>
      </c>
      <c r="B14" s="97" t="n">
        <f>DONG_TIEN!G16</f>
        <v>318696000</v>
      </c>
      <c r="C14" s="113"/>
      <c r="D14" s="113"/>
      <c r="E14" s="113"/>
      <c r="F14" s="113"/>
      <c r="G14" s="113"/>
      <c r="H14" s="113"/>
      <c r="I14" s="113"/>
      <c r="J14" s="113"/>
      <c r="K14" s="113"/>
      <c r="L14" s="113"/>
      <c r="M14" s="113"/>
      <c r="N14" s="113"/>
      <c r="O14" s="113"/>
      <c r="P14" s="113"/>
    </row>
    <row r="15" ht="15" hidden="0" customHeight="1">
      <c r="A15" s="96" t="str">
        <v>Vốn lưu động – mức thận trọng</v>
      </c>
      <c r="B15" s="97" t="n">
        <f>GIA_DINH!D61</f>
        <v>328035000</v>
      </c>
      <c r="C15" s="113"/>
      <c r="D15" s="113"/>
      <c r="E15" s="113"/>
      <c r="F15" s="113"/>
      <c r="G15" s="113"/>
      <c r="H15" s="113"/>
      <c r="I15" s="113"/>
      <c r="J15" s="113"/>
      <c r="K15" s="113"/>
      <c r="L15" s="113"/>
      <c r="M15" s="113"/>
      <c r="N15" s="113"/>
      <c r="O15" s="113"/>
      <c r="P15" s="113"/>
    </row>
    <row r="16" ht="15" hidden="0" customHeight="1">
      <c r="A16" s="96" t="str">
        <v>Tài sản ban đầu</v>
      </c>
      <c r="B16" s="97" t="n">
        <f>TAI_SAN!C16</f>
        <v>63040000</v>
      </c>
      <c r="C16" s="113"/>
      <c r="D16" s="113"/>
      <c r="E16" s="113"/>
      <c r="F16" s="113"/>
      <c r="G16" s="113"/>
      <c r="H16" s="113"/>
      <c r="I16" s="113"/>
      <c r="J16" s="113"/>
      <c r="K16" s="113"/>
      <c r="L16" s="113"/>
      <c r="M16" s="113"/>
      <c r="N16" s="113"/>
      <c r="O16" s="113"/>
      <c r="P16" s="113"/>
    </row>
    <row r="17" ht="15" hidden="0" customHeight="1">
      <c r="A17" s="96" t="str">
        <v>Thanh khoản trung tâm</v>
      </c>
      <c r="B17" s="97" t="n">
        <f>NGUONG_DAU_TU!C25</f>
        <v>416736000</v>
      </c>
      <c r="C17" s="113"/>
      <c r="D17" s="113"/>
      <c r="E17" s="113"/>
      <c r="F17" s="113"/>
      <c r="G17" s="113"/>
      <c r="H17" s="113"/>
      <c r="I17" s="113"/>
      <c r="J17" s="113"/>
      <c r="K17" s="113"/>
      <c r="L17" s="113"/>
      <c r="M17" s="113"/>
      <c r="N17" s="113"/>
      <c r="O17" s="113"/>
      <c r="P17" s="113"/>
    </row>
    <row r="18" ht="15" hidden="0" customHeight="1">
      <c r="A18" s="96" t="str">
        <v>Nguồn bố trí thận trọng</v>
      </c>
      <c r="B18" s="97" t="n">
        <f>NGUONG_DAU_TU!C26</f>
        <v>426075000</v>
      </c>
      <c r="C18" s="113"/>
      <c r="D18" s="113"/>
      <c r="E18" s="113"/>
      <c r="F18" s="113"/>
      <c r="G18" s="113"/>
      <c r="H18" s="113"/>
      <c r="I18" s="113"/>
      <c r="J18" s="113"/>
      <c r="K18" s="113"/>
      <c r="L18" s="113"/>
      <c r="M18" s="113"/>
      <c r="N18" s="113"/>
      <c r="O18" s="113"/>
      <c r="P18" s="113"/>
    </row>
    <row r="19" ht="15" hidden="0" customHeight="1">
      <c r="A19" s="113"/>
      <c r="B19" s="113"/>
      <c r="C19" s="113"/>
      <c r="D19" s="113"/>
      <c r="E19" s="113"/>
      <c r="F19" s="113"/>
      <c r="G19" s="113"/>
      <c r="H19" s="113"/>
      <c r="I19" s="113"/>
      <c r="J19" s="113"/>
      <c r="K19" s="113"/>
      <c r="L19" s="113"/>
      <c r="M19" s="113"/>
      <c r="N19" s="113"/>
      <c r="O19" s="113"/>
      <c r="P19" s="113"/>
    </row>
    <row r="20" ht="15" hidden="0" customHeight="1">
      <c r="A20" s="113"/>
      <c r="B20" s="113"/>
      <c r="C20" s="113"/>
      <c r="D20" s="113"/>
      <c r="E20" s="113"/>
      <c r="F20" s="113"/>
      <c r="G20" s="113"/>
      <c r="H20" s="113"/>
      <c r="I20" s="113"/>
      <c r="J20" s="113"/>
      <c r="K20" s="113"/>
      <c r="L20" s="113"/>
      <c r="M20" s="113"/>
      <c r="N20" s="113"/>
      <c r="O20" s="113"/>
      <c r="P20" s="113"/>
    </row>
    <row r="21" ht="15" hidden="0" customHeight="1">
      <c r="A21" s="92" t="str">
        <v>BA KỊCH BẢN VẬN HÀNH</v>
      </c>
      <c r="B21" s="92"/>
      <c r="C21" s="92"/>
      <c r="D21" s="92"/>
      <c r="E21" s="92"/>
      <c r="F21" s="92"/>
      <c r="G21" s="113"/>
      <c r="H21" s="92" t="str">
        <v>CÁC SỐ PHẢI THAY BẰNG DỮ LIỆU THỰC</v>
      </c>
      <c r="I21" s="92"/>
      <c r="J21" s="92"/>
      <c r="K21" s="92"/>
      <c r="L21" s="92"/>
      <c r="M21" s="92"/>
      <c r="N21" s="92"/>
      <c r="O21" s="92"/>
      <c r="P21" s="92"/>
    </row>
    <row r="22" ht="15" hidden="0" customHeight="1">
      <c r="A22" s="98" t="str">
        <v>Kịch bản</v>
      </c>
      <c r="B22" s="98" t="str">
        <v>Doanh thu</v>
      </c>
      <c r="C22" s="98" t="str">
        <v>Chi phí vận hành</v>
      </c>
      <c r="D22" s="98" t="str">
        <v>Kết quả vận hành</v>
      </c>
      <c r="E22" s="113"/>
      <c r="F22" s="113"/>
      <c r="G22" s="113"/>
      <c r="H22" s="99" t="str">
        <v>Số hạt/gói đúng lô</v>
      </c>
      <c r="I22" s="99" t="str">
        <v>Báo giá compost giao ruộng</v>
      </c>
      <c r="J22" s="99" t="str">
        <v>Báo giá xét nghiệm</v>
      </c>
      <c r="K22" s="99" t="str">
        <v>Báo giá chứng nhận</v>
      </c>
      <c r="L22" s="99" t="str">
        <v>Giá và quy cách bên mua</v>
      </c>
      <c r="M22" s="99" t="str">
        <v>Năng suất hái kg/công</v>
      </c>
      <c r="N22" s="99" t="str">
        <v>Ngày thanh toán</v>
      </c>
      <c r="O22" s="113"/>
      <c r="P22" s="113"/>
    </row>
    <row r="23" ht="15" hidden="0" customHeight="1">
      <c r="A23" s="100" t="str">
        <f>KICH_BAN!A5</f>
        <v>Bất lợi</v>
      </c>
      <c r="B23" s="101" t="n">
        <f>KICH_BAN!K5</f>
        <v>73200000</v>
      </c>
      <c r="C23" s="101" t="n">
        <f>KICH_BAN!L5</f>
        <v>399803250</v>
      </c>
      <c r="D23" s="101" t="n">
        <f>KICH_BAN!M5</f>
        <v>-326603250</v>
      </c>
      <c r="E23" s="113"/>
      <c r="F23" s="113"/>
      <c r="G23" s="113"/>
      <c r="H23" s="102" t="str">
        <v>Chưa có bằng chứng</v>
      </c>
      <c r="I23" s="102" t="str">
        <v>Chưa có báo giá Đông Sơn</v>
      </c>
      <c r="J23" s="102" t="str">
        <v>Chưa có báo giá</v>
      </c>
      <c r="K23" s="102" t="str">
        <v>Chưa có báo giá</v>
      </c>
      <c r="L23" s="102" t="str">
        <v>Chưa có hợp đồng</v>
      </c>
      <c r="M23" s="102" t="str">
        <v>Chưa đo tại B-FARM</v>
      </c>
      <c r="N23" s="102" t="str">
        <v>Chưa có hợp đồng</v>
      </c>
      <c r="O23" s="113"/>
      <c r="P23" s="113"/>
    </row>
    <row r="24" ht="15" hidden="0" customHeight="1">
      <c r="A24" s="100" t="str">
        <f>KICH_BAN!A6</f>
        <v>Tham chiếu liên kết 14.500</v>
      </c>
      <c r="B24" s="101" t="n">
        <f>KICH_BAN!K6</f>
        <v>264000000</v>
      </c>
      <c r="C24" s="101" t="n">
        <f>KICH_BAN!L6</f>
        <v>440774250</v>
      </c>
      <c r="D24" s="101" t="n">
        <f>KICH_BAN!M6</f>
        <v>-176774250</v>
      </c>
      <c r="E24" s="113"/>
      <c r="F24" s="113"/>
      <c r="G24" s="113"/>
      <c r="H24" s="102" t="str">
        <v>Không dùng số bán lẻ</v>
      </c>
      <c r="I24" s="102" t="str">
        <v>Chạy dải 2,5–7,9 triệu/tấn</v>
      </c>
      <c r="J24" s="102" t="str">
        <v>Chạy dải 10–45 triệu/vụ</v>
      </c>
      <c r="K24" s="102" t="str">
        <v>Tham chiếu 10 triệu</v>
      </c>
      <c r="L24" s="102" t="str">
        <v>Chạy 6.000–30.000 đồng/kg</v>
      </c>
      <c r="M24" s="102" t="str">
        <v>Kiểm 30–50 kg/công</v>
      </c>
      <c r="N24" s="102" t="str">
        <v>Chạy 0–45 ngày</v>
      </c>
      <c r="O24" s="113"/>
      <c r="P24" s="113"/>
    </row>
    <row r="25" ht="15" hidden="0" customHeight="1">
      <c r="A25" s="100" t="str">
        <f>KICH_BAN!A7</f>
        <v>Thuận lợi có điều kiện</v>
      </c>
      <c r="B25" s="101" t="n">
        <f>KICH_BAN!K7</f>
        <v>697000000</v>
      </c>
      <c r="C25" s="101" t="n">
        <f>KICH_BAN!L7</f>
        <v>480254250</v>
      </c>
      <c r="D25" s="101" t="n">
        <f>KICH_BAN!M7</f>
        <v>216745750</v>
      </c>
      <c r="E25" s="113"/>
      <c r="F25" s="113"/>
      <c r="G25" s="113"/>
      <c r="H25" s="102" t="str">
        <v>Chủ việc: vườn ươm</v>
      </c>
      <c r="I25" s="102" t="str">
        <v>Chủ việc: mua hàng</v>
      </c>
      <c r="J25" s="102" t="str">
        <v>Chủ việc: kiểm soát chất lượng</v>
      </c>
      <c r="K25" s="102" t="str">
        <v>Chủ việc: chương trình</v>
      </c>
      <c r="L25" s="102" t="str">
        <v>Chủ việc: kinh doanh</v>
      </c>
      <c r="M25" s="102" t="str">
        <v>Chủ việc: quản lý vùng</v>
      </c>
      <c r="N25" s="102" t="str">
        <v>Chủ việc: tài chính</v>
      </c>
      <c r="O25" s="113"/>
      <c r="P25" s="113"/>
    </row>
    <row r="26" ht="15" hidden="0" customHeight="1">
      <c r="A26" s="113"/>
      <c r="B26" s="113"/>
      <c r="C26" s="113"/>
      <c r="D26" s="113"/>
      <c r="E26" s="113"/>
      <c r="F26" s="113"/>
      <c r="G26" s="113"/>
      <c r="H26" s="102" t="str">
        <v>Cổng trước gieo</v>
      </c>
      <c r="I26" s="102" t="str">
        <v>Cổng trước mua</v>
      </c>
      <c r="J26" s="102" t="str">
        <v>Cổng phát hành lô</v>
      </c>
      <c r="K26" s="102" t="str">
        <v>Cổng tuyên bố hữu cơ</v>
      </c>
      <c r="L26" s="102" t="str">
        <v>Cổng thị trường</v>
      </c>
      <c r="M26" s="102" t="str">
        <v>Cổng nhân lực</v>
      </c>
      <c r="N26" s="102" t="str">
        <v>Cổng thanh khoản</v>
      </c>
      <c r="O26" s="113"/>
      <c r="P26" s="113"/>
    </row>
    <row r="27" ht="15" hidden="0" customHeight="1">
      <c r="A27" s="113"/>
      <c r="B27" s="113"/>
      <c r="C27" s="113"/>
      <c r="D27" s="113"/>
      <c r="E27" s="113"/>
      <c r="F27" s="113"/>
      <c r="G27" s="113"/>
      <c r="H27" s="113"/>
      <c r="I27" s="113"/>
      <c r="J27" s="113"/>
      <c r="K27" s="113"/>
      <c r="L27" s="113"/>
      <c r="M27" s="113"/>
      <c r="N27" s="113"/>
      <c r="O27" s="113"/>
      <c r="P27" s="113"/>
    </row>
    <row r="28" ht="15" hidden="0" customHeight="1">
      <c r="A28" s="103" t="str">
        <v>Hành động: chỉ triển khai tối đa 1 ha khi có hợp đồng giá, lịch thanh toán, báo giá đầu vào và dữ liệu lô thử. Vốn lưu động 318,696 triệu đồng là lịch trung tâm có thể chỉnh; mức thận trọng 328,035 triệu đồng dùng để kiểm tra sức chịu đựng.</v>
      </c>
      <c r="B28" s="104"/>
      <c r="C28" s="104"/>
      <c r="D28" s="104"/>
      <c r="E28" s="104"/>
      <c r="F28" s="105"/>
      <c r="G28" s="113"/>
      <c r="H28" s="113"/>
      <c r="I28" s="113"/>
      <c r="J28" s="113"/>
      <c r="K28" s="113"/>
      <c r="L28" s="113"/>
      <c r="M28" s="113"/>
      <c r="N28" s="113"/>
      <c r="O28" s="113"/>
      <c r="P28" s="113"/>
    </row>
    <row r="29" ht="15" hidden="0" customHeight="1">
      <c r="A29" s="106"/>
      <c r="B29" s="107"/>
      <c r="C29" s="107"/>
      <c r="D29" s="107"/>
      <c r="E29" s="107"/>
      <c r="F29" s="108"/>
      <c r="G29" s="113"/>
      <c r="H29" s="113"/>
      <c r="I29" s="113"/>
      <c r="J29" s="113"/>
      <c r="K29" s="113"/>
      <c r="L29" s="113"/>
      <c r="M29" s="113"/>
      <c r="N29" s="113"/>
      <c r="O29" s="113"/>
      <c r="P29" s="113"/>
    </row>
    <row r="30" ht="15" hidden="0" customHeight="1">
      <c r="A30" s="106"/>
      <c r="B30" s="107"/>
      <c r="C30" s="107"/>
      <c r="D30" s="107"/>
      <c r="E30" s="107"/>
      <c r="F30" s="108"/>
      <c r="G30" s="113"/>
      <c r="H30" s="113"/>
      <c r="I30" s="113"/>
      <c r="J30" s="113"/>
      <c r="K30" s="113"/>
      <c r="L30" s="113"/>
      <c r="M30" s="113"/>
      <c r="N30" s="113"/>
      <c r="O30" s="113"/>
      <c r="P30" s="113"/>
    </row>
    <row r="31" ht="15" hidden="0" customHeight="1">
      <c r="A31" s="109"/>
      <c r="B31" s="110"/>
      <c r="C31" s="110"/>
      <c r="D31" s="110"/>
      <c r="E31" s="110"/>
      <c r="F31" s="111"/>
      <c r="G31" s="113"/>
      <c r="H31" s="113"/>
      <c r="I31" s="113"/>
      <c r="J31" s="113"/>
      <c r="K31" s="113"/>
      <c r="L31" s="113"/>
      <c r="M31" s="113"/>
      <c r="N31" s="113"/>
      <c r="O31" s="113"/>
      <c r="P31" s="113"/>
    </row>
  </sheetData>
  <sheetProtection password="B07A" sheet="1" objects="1" scenarios="1" formatCells="1" formatColumns="1" formatRows="1" insertColumns="1" insertRows="1" deleteColumns="1" deleteRows="1" selectLockedCells="0" selectUnlockedCells="0"/>
  <mergeCells>
    <mergeCell ref="A1:P1"/>
    <mergeCell ref="A2:P3"/>
    <mergeCell ref="A4:F4"/>
    <mergeCell ref="A21:F21"/>
    <mergeCell ref="A28:F31"/>
    <mergeCell ref="H21:P21"/>
  </mergeCells>
  <pageMargins left="0.7" right="0.7" top="0.75" bottom="0.75" header="0.3" footer="0.3"/>
  <drawing ns1:id="R85b558addf88452a"/>
</worksheet>
</file>

<file path=xl/worksheets/sheet2.xml><?xml version="1.0" encoding="utf-8"?>
<worksheet xmlns="http://schemas.openxmlformats.org/spreadsheetml/2006/main">
  <sheetViews>
    <sheetView showGridLines="0" workbookViewId="0"/>
  </sheetViews>
  <sheetFormatPr defaultRowHeight="15"/>
  <cols>
    <col min="1" max="1" width="14" hidden="0" customWidth="1"/>
    <col min="2" max="2" width="29" hidden="0" customWidth="1"/>
    <col min="3" max="3" width="18" hidden="0" customWidth="1"/>
    <col min="4" max="4" width="19" hidden="0" customWidth="1"/>
    <col min="5" max="5" width="23" hidden="0" customWidth="1"/>
    <col min="6" max="6" width="27" hidden="0" customWidth="1"/>
    <col min="7" max="7" width="34" hidden="0" customWidth="1"/>
  </cols>
  <sheetData>
    <row r="1" ht="42" hidden="0" customHeight="1">
      <c r="A1" s="147" t="str">
        <v>GIẢ ĐỊNH KỸ THUẬT VÀ TÀI CHÍNH – 01 HA</v>
      </c>
      <c r="B1" s="147"/>
      <c r="C1" s="147"/>
      <c r="D1" s="147"/>
      <c r="E1" s="147"/>
      <c r="F1" s="147"/>
      <c r="G1" s="147"/>
    </row>
    <row r="2" ht="42" customHeight="1">
      <c r="A2" s="91" t="str">
        <v>Ô xanh là dữ liệu đầu vào. Mọi giá trị phải có nguồn, ngày và trạng thái; số 0 không được dùng thay cho dữ liệu thiếu.</v>
      </c>
      <c r="B2" s="91"/>
      <c r="C2" s="91"/>
      <c r="D2" s="91"/>
      <c r="E2" s="91"/>
      <c r="F2" s="91"/>
      <c r="G2" s="91"/>
    </row>
    <row r="3">
      <c r="A3" s="91"/>
      <c r="B3" s="91"/>
      <c r="C3" s="91"/>
      <c r="D3" s="91"/>
      <c r="E3" s="91"/>
      <c r="F3" s="91"/>
      <c r="G3" s="91"/>
    </row>
    <row r="4" ht="15" hidden="0" customHeight="1">
      <c r="A4" s="92" t="str">
        <v>A. Giả định chung</v>
      </c>
      <c r="B4" s="92"/>
      <c r="C4" s="92"/>
      <c r="D4" s="92"/>
      <c r="E4" s="92"/>
      <c r="F4" s="92"/>
      <c r="G4" s="92"/>
    </row>
    <row r="5" ht="15" hidden="0" customHeight="1">
      <c r="A5" s="98" t="str">
        <v>Mã</v>
      </c>
      <c r="B5" s="98" t="str">
        <v>Chỉ tiêu</v>
      </c>
      <c r="C5" s="98" t="str">
        <v>Đơn vị</v>
      </c>
      <c r="D5" s="98" t="str">
        <v>Giá trị</v>
      </c>
      <c r="E5" s="98" t="str">
        <v>Phân loại bằng chứng</v>
      </c>
      <c r="F5" s="98" t="str">
        <v>Nguồn/ngày</v>
      </c>
      <c r="G5" s="98" t="str">
        <v>Cách dùng</v>
      </c>
    </row>
    <row r="6" ht="15" hidden="0" customHeight="1">
      <c r="A6" s="102" t="str">
        <v>A01</v>
      </c>
      <c r="B6" s="102" t="str">
        <v>Diện tích trồng thuần</v>
      </c>
      <c r="C6" s="102" t="str">
        <v>ha</v>
      </c>
      <c r="D6" s="114" t="n">
        <v>1</v>
      </c>
      <c r="E6" s="102" t="str">
        <v>Mốc dự án</v>
      </c>
      <c r="F6" s="102" t="str">
        <v>Đông Sơn, 27/08/2026</v>
      </c>
      <c r="G6" s="102" t="str">
        <v>Tách khỏi đường, vùng đệm và hạ tầng</v>
      </c>
    </row>
    <row r="7" ht="15" hidden="0" customHeight="1">
      <c r="A7" s="102" t="str">
        <v>A02</v>
      </c>
      <c r="B7" s="102" t="str">
        <v>Cây ngoài ruộng</v>
      </c>
      <c r="C7" s="102" t="str">
        <v>cây</v>
      </c>
      <c r="D7" s="114" t="n">
        <v>30000</v>
      </c>
      <c r="E7" s="102" t="str">
        <v>Nguồn kỹ thuật công khai</v>
      </c>
      <c r="F7" s="102" t="str">
        <v>VAAS 2022</v>
      </c>
      <c r="G7" s="102" t="str">
        <v>Hiệu chỉnh theo bản vẽ hoàn công</v>
      </c>
    </row>
    <row r="8" ht="15" hidden="0" customHeight="1">
      <c r="A8" s="102" t="str">
        <v>A03</v>
      </c>
      <c r="B8" s="102" t="str">
        <v>Hạt dự kiến cần gieo</v>
      </c>
      <c r="C8" s="102" t="str">
        <v>hạt</v>
      </c>
      <c r="D8" s="114" t="n">
        <v>43200</v>
      </c>
      <c r="E8" s="102" t="str">
        <v>Mục tiêu kiểm chứng</v>
      </c>
      <c r="F8" s="102" t="str">
        <v>Công thức Rev.D</v>
      </c>
      <c r="G8" s="102" t="str">
        <v>Không quy đổi sang gói trước khi đếm hạt đúng lô</v>
      </c>
    </row>
    <row r="9" ht="15" hidden="0" customHeight="1">
      <c r="A9" s="102" t="str">
        <v>A04</v>
      </c>
      <c r="B9" s="102" t="str">
        <v>Compost cơ sở</v>
      </c>
      <c r="C9" s="102" t="str">
        <v>tấn</v>
      </c>
      <c r="D9" s="114" t="n">
        <v>25</v>
      </c>
      <c r="E9" s="102" t="str">
        <v>Nguồn kỹ thuật công khai</v>
      </c>
      <c r="F9" s="102" t="str">
        <v>VAAS 2022</v>
      </c>
      <c r="G9" s="102" t="str">
        <v>Phải có phân tích và phê duyệt lô</v>
      </c>
    </row>
    <row r="10" ht="19.200000762939453" hidden="0" customHeight="1">
      <c r="A10" s="102" t="str">
        <v>A05</v>
      </c>
      <c r="B10" s="102" t="str">
        <v>Giá một công lao động phổ thông</v>
      </c>
      <c r="C10" s="102" t="str">
        <v>đồng/công</v>
      </c>
      <c r="D10" s="115" t="n">
        <v>300000</v>
      </c>
      <c r="E10" s="102" t="str">
        <v>Giả định lập kế hoạch</v>
      </c>
      <c r="F10" s="102" t="str">
        <v>Đông Sơn 27/08/2026; B-FARM/vùng chưa chốt</v>
      </c>
      <c r="G10" s="102" t="str">
        <v>Gộp giá thay thế lao động gia đình; thuế/phúc lợi chưa xác nhận</v>
      </c>
    </row>
    <row r="11" ht="15" hidden="0" customHeight="1">
      <c r="A11" s="102" t="str">
        <v>A06</v>
      </c>
      <c r="B11" s="102" t="str">
        <v>Giá một ngày kỹ thuật</v>
      </c>
      <c r="C11" s="102" t="str">
        <v>đồng/ngày</v>
      </c>
      <c r="D11" s="115" t="n">
        <v>500000</v>
      </c>
      <c r="E11" s="102" t="str">
        <v>Giả định lập kế hoạch</v>
      </c>
      <c r="F11" s="102" t="str">
        <v>Đông Sơn 27/08/2026; B-FARM/vùng chưa chốt</v>
      </c>
      <c r="G11" s="102" t="str">
        <v>Ghi ngày công; thuế, phúc lợi và cước chưa xác nhận</v>
      </c>
    </row>
    <row r="12" ht="15" hidden="0" customHeight="1">
      <c r="A12" s="102" t="str">
        <v>A07</v>
      </c>
      <c r="B12" s="102" t="str">
        <v>Công hái theo khối lượng</v>
      </c>
      <c r="C12" s="102" t="str">
        <v>đồng/kg tổng thu</v>
      </c>
      <c r="D12" s="115" t="n">
        <v>6000</v>
      </c>
      <c r="E12" s="102" t="str">
        <v>Quan sát báo chí</v>
      </c>
      <c r="F12" s="102" t="str">
        <v>Báo Vĩnh Long 03/2026; Vĩnh Long</v>
      </c>
      <c r="G12" s="102" t="str">
        <v>Chạy độ nhạy 4.000–8.300; thuế/phúc lợi chưa xác nhận</v>
      </c>
    </row>
    <row r="13" ht="15" hidden="0" customHeight="1">
      <c r="A13" s="102" t="str">
        <v>A08</v>
      </c>
      <c r="B13" s="102" t="str">
        <v>Phân loại và đóng gói</v>
      </c>
      <c r="C13" s="102" t="str">
        <v>đồng/kg thương phẩm</v>
      </c>
      <c r="D13" s="115" t="n">
        <v>800</v>
      </c>
      <c r="E13" s="102" t="str">
        <v>Giả định lập kế hoạch</v>
      </c>
      <c r="F13" s="102" t="str">
        <v>Đông Sơn 27/08/2026; B-FARM/vùng chưa chốt</v>
      </c>
      <c r="G13" s="102" t="str">
        <v>Tách vật liệu bao gói; thuế và cước chưa xác nhận</v>
      </c>
    </row>
    <row r="14" ht="15" hidden="0" customHeight="1">
      <c r="A14" s="102" t="str">
        <v>A09</v>
      </c>
      <c r="B14" s="102" t="str">
        <v>Lót thùng, nhãn, vệ sinh</v>
      </c>
      <c r="C14" s="102" t="str">
        <v>đồng/kg thương phẩm</v>
      </c>
      <c r="D14" s="115" t="n">
        <v>220</v>
      </c>
      <c r="E14" s="102" t="str">
        <v>Giả định lập kế hoạch</v>
      </c>
      <c r="F14" s="102" t="str">
        <v>Đông Sơn 27/08/2026; B-FARM/vùng chưa chốt</v>
      </c>
      <c r="G14" s="102" t="str">
        <v>Theo quy cách bên mua; thuế và cước chưa xác nhận</v>
      </c>
    </row>
    <row r="15" ht="19.200000762939453" hidden="0" customHeight="1">
      <c r="A15" s="102" t="str">
        <v>A10</v>
      </c>
      <c r="B15" s="102" t="str">
        <v>Vận chuyển đầu chặng</v>
      </c>
      <c r="C15" s="102" t="str">
        <v>đồng/kg thương phẩm</v>
      </c>
      <c r="D15" s="115" t="n">
        <v>500</v>
      </c>
      <c r="E15" s="102" t="str">
        <v>Quan sát báo chí</v>
      </c>
      <c r="F15" s="102" t="str">
        <v>Báo Vĩnh Long 03/2026; Vĩnh Long</v>
      </c>
      <c r="G15" s="102" t="str">
        <v>Thay bằng tuyến thực tế; thuế và cước ngoài đầu chặng chưa xác nhận</v>
      </c>
    </row>
    <row r="16" ht="15" hidden="0" customHeight="1">
      <c r="A16" s="102" t="str">
        <v>A11</v>
      </c>
      <c r="B16" s="102" t="str">
        <v>Xử lý hàng loại</v>
      </c>
      <c r="C16" s="102" t="str">
        <v>đồng/kg loại</v>
      </c>
      <c r="D16" s="115" t="n">
        <v>100</v>
      </c>
      <c r="E16" s="102" t="str">
        <v>Giả định lập kế hoạch</v>
      </c>
      <c r="F16" s="102" t="str">
        <v>Đông Sơn 27/08/2026; B-FARM/vùng chưa chốt</v>
      </c>
      <c r="G16" s="102" t="str">
        <v>Không dùng cho hàng nguy cơ; thuế và cước chưa xác nhận</v>
      </c>
    </row>
    <row r="17" ht="15" hidden="0" customHeight="1">
      <c r="A17" s="102" t="str">
        <v>A12</v>
      </c>
      <c r="B17" s="102" t="str">
        <v>Dự phòng chi phí</v>
      </c>
      <c r="C17" s="102" t="str">
        <v>%</v>
      </c>
      <c r="D17" s="116" t="n">
        <v>0.05</v>
      </c>
      <c r="E17" s="102" t="str">
        <v>Giả định lập kế hoạch</v>
      </c>
      <c r="F17" s="102" t="str">
        <v>Đông Sơn, 27/08/2026</v>
      </c>
      <c r="G17" s="102" t="str">
        <v>Tính trên chi phí trước dự phòng</v>
      </c>
    </row>
    <row r="18" ht="19.200000762939453" hidden="0" customHeight="1">
      <c r="A18" s="102" t="str">
        <v>A13</v>
      </c>
      <c r="B18" s="102" t="str">
        <v>Vốn lưu động đỉnh – lịch trung tâm</v>
      </c>
      <c r="C18" s="102" t="str">
        <v>đồng</v>
      </c>
      <c r="D18" s="115" t="n">
        <v>318696000</v>
      </c>
      <c r="E18" s="102" t="str">
        <v>Giả định lịch thanh toán</v>
      </c>
      <c r="F18" s="102" t="str">
        <v>Lịch cơ sở Rev.D</v>
      </c>
      <c r="G18" s="102" t="str">
        <v>Không phải số tuyệt đối; sửa theo lịch thanh toán và hóa đơn thực tế</v>
      </c>
    </row>
    <row r="19" ht="15" hidden="0" customHeight="1">
      <c r="A19" s="102" t="str">
        <v>A14</v>
      </c>
      <c r="B19" s="102" t="str">
        <v>Đệm thanh khoản</v>
      </c>
      <c r="C19" s="102" t="str">
        <v>đồng</v>
      </c>
      <c r="D19" s="115" t="n">
        <v>35000000</v>
      </c>
      <c r="E19" s="102" t="str">
        <v>Giả định lập kế hoạch</v>
      </c>
      <c r="F19" s="102" t="str">
        <v>Đông Sơn, 27/08/2026</v>
      </c>
      <c r="G19" s="102" t="str">
        <v>Không dùng che lỗ cơ cấu</v>
      </c>
    </row>
    <row r="20" ht="15" hidden="0" customHeight="1">
      <c r="A20" s="102" t="str">
        <v>A15</v>
      </c>
      <c r="B20" s="102" t="str">
        <v>Suất chiết khấu minh họa</v>
      </c>
      <c r="C20" s="102" t="str">
        <v>%/năm</v>
      </c>
      <c r="D20" s="116" t="n">
        <v>0.12</v>
      </c>
      <c r="E20" s="102" t="str">
        <v>Giả định lập kế hoạch</v>
      </c>
      <c r="F20" s="102" t="str">
        <v>Đông Sơn, 27/08/2026</v>
      </c>
      <c r="G20" s="102" t="str">
        <v>Chỉ dùng mô phỏng 5 năm</v>
      </c>
    </row>
    <row r="21" ht="15" hidden="0" customHeight="1">
      <c r="A21" s="102" t="str">
        <v>A16</v>
      </c>
      <c r="B21" s="102" t="str">
        <v>Lãi vay minh họa</v>
      </c>
      <c r="C21" s="102" t="str">
        <v>%/năm</v>
      </c>
      <c r="D21" s="116" t="n">
        <v>0.088</v>
      </c>
      <c r="E21" s="102" t="str">
        <v>Giả định có điều kiện</v>
      </c>
      <c r="F21" s="102" t="str">
        <v>Chỉ khi có báo giá tín dụng</v>
      </c>
      <c r="G21" s="102" t="str">
        <v>Không dùng nếu vốn tự có</v>
      </c>
    </row>
    <row r="22" ht="15" hidden="0" customHeight="1">
      <c r="A22" s="102" t="str">
        <v>A17</v>
      </c>
      <c r="B22" s="102" t="str">
        <v>Dư nợ bình quân minh họa</v>
      </c>
      <c r="C22" s="102" t="str">
        <v>đồng</v>
      </c>
      <c r="D22" s="115" t="n">
        <v>220000000</v>
      </c>
      <c r="E22" s="102" t="str">
        <v>Giả định có điều kiện</v>
      </c>
      <c r="F22" s="102" t="str">
        <v>Mô hình Rev.D</v>
      </c>
      <c r="G22" s="102" t="str">
        <v>Trong 6 tháng</v>
      </c>
    </row>
    <row r="23" ht="15" hidden="0" customHeight="1">
      <c r="A23" s="102" t="str">
        <v>A18</v>
      </c>
      <c r="B23" s="102" t="str">
        <v>Số tháng vay minh họa</v>
      </c>
      <c r="C23" s="102" t="str">
        <v>tháng</v>
      </c>
      <c r="D23" s="115" t="n">
        <v>6</v>
      </c>
      <c r="E23" s="102" t="str">
        <v>Giả định có điều kiện</v>
      </c>
      <c r="F23" s="102" t="str">
        <v>Mô hình Rev.D</v>
      </c>
      <c r="G23" s="102" t="str">
        <v>Chi phí lãi = dư nợ × lãi suất × tháng/12</v>
      </c>
    </row>
    <row r="24" ht="15" hidden="0" customHeight="1">
      <c r="A24" s="102" t="str">
        <v>A19</v>
      </c>
      <c r="B24" s="102" t="str">
        <v>Tiền thuê đất trả bằng tiền</v>
      </c>
      <c r="C24" s="102" t="str">
        <v>đồng/năm</v>
      </c>
      <c r="D24" s="115" t="n">
        <v>0</v>
      </c>
      <c r="E24" s="102" t="str">
        <v>Trường hợp B-FARM có đất</v>
      </c>
      <c r="F24" s="102" t="str">
        <v>Cần xác nhận quyền sử dụng</v>
      </c>
      <c r="G24" s="102" t="str">
        <v>Không đồng nghĩa chi phí cơ hội đất bằng 0</v>
      </c>
    </row>
    <row r="25" ht="15" hidden="0" customHeight="1">
      <c r="A25" s="102" t="str">
        <v>A20</v>
      </c>
      <c r="B25" s="102" t="str">
        <v>Quản trị doanh nghiệp phân bổ</v>
      </c>
      <c r="C25" s="102" t="str">
        <v>đồng/năm</v>
      </c>
      <c r="D25" s="115" t="n">
        <v>24000000</v>
      </c>
      <c r="E25" s="102" t="str">
        <v>Giả định lập kế hoạch</v>
      </c>
      <c r="F25" s="102" t="str">
        <v>2 triệu đồng/tháng</v>
      </c>
      <c r="G25" s="102" t="str">
        <v>Thay bằng chính sách kế toán</v>
      </c>
    </row>
    <row r="26" ht="15" hidden="0" customHeight="1">
      <c r="A26" s="113"/>
      <c r="B26" s="113"/>
      <c r="C26" s="113"/>
      <c r="D26" s="113"/>
      <c r="E26" s="113"/>
      <c r="F26" s="113"/>
      <c r="G26" s="113"/>
    </row>
    <row r="27" ht="15" hidden="0" customHeight="1">
      <c r="A27" s="113"/>
      <c r="B27" s="113"/>
      <c r="C27" s="113"/>
      <c r="D27" s="113"/>
      <c r="E27" s="113"/>
      <c r="F27" s="113"/>
      <c r="G27" s="113"/>
    </row>
    <row r="28" ht="15" hidden="0" customHeight="1">
      <c r="A28" s="92" t="str">
        <v>B. Ba kịch bản thị trường và sinh học</v>
      </c>
      <c r="B28" s="92"/>
      <c r="C28" s="92"/>
      <c r="D28" s="92"/>
      <c r="E28" s="92"/>
      <c r="F28" s="92"/>
      <c r="G28" s="92"/>
    </row>
    <row r="29" ht="15" hidden="0" customHeight="1">
      <c r="A29" s="98" t="str">
        <v>Kịch bản</v>
      </c>
      <c r="B29" s="98" t="str">
        <v>Tổng thu kg</v>
      </c>
      <c r="C29" s="98" t="str">
        <v>Tỷ lệ thương phẩm</v>
      </c>
      <c r="D29" s="98" t="str">
        <v>Giá chính đồng/kg</v>
      </c>
      <c r="E29" s="98" t="str">
        <v>Tỷ lệ thu hồi hàng loại</v>
      </c>
      <c r="F29" s="98" t="str">
        <v>Giá hàng loại đồng/kg</v>
      </c>
      <c r="G29" s="98" t="str">
        <v>Giải thích nguồn</v>
      </c>
    </row>
    <row r="30" ht="19.200000762939453" hidden="0" customHeight="1">
      <c r="A30" s="102" t="str">
        <v>Bất lợi</v>
      </c>
      <c r="B30" s="115" t="n">
        <v>15000</v>
      </c>
      <c r="C30" s="116" t="n">
        <v>0.8</v>
      </c>
      <c r="D30" s="115" t="n">
        <v>6000</v>
      </c>
      <c r="E30" s="116" t="n">
        <v>0.2</v>
      </c>
      <c r="F30" s="115" t="n">
        <v>2000</v>
      </c>
      <c r="G30" s="102" t="str">
        <v>VietnamPlus, Quảng Ngãi 04/2026; giá stress, chưa xác nhận thuế/cước</v>
      </c>
    </row>
    <row r="31" ht="28.799999237060547" hidden="0" customHeight="1">
      <c r="A31" s="102" t="str">
        <v>Tham chiếu liên kết 14.500</v>
      </c>
      <c r="B31" s="115" t="n">
        <v>20000</v>
      </c>
      <c r="C31" s="116" t="n">
        <v>0.9</v>
      </c>
      <c r="D31" s="115" t="n">
        <v>14500</v>
      </c>
      <c r="E31" s="116" t="n">
        <v>0.5</v>
      </c>
      <c r="F31" s="115" t="n">
        <v>3000</v>
      </c>
      <c r="G31" s="102" t="str">
        <v>Khuyến nông Quốc gia, Sơn La; truy cập 27/08/2026; 14.000–15.000 đồng/kg; không phải báo giá/bao tiêu Đông Sơn; thuế/cước chưa xác nhận</v>
      </c>
    </row>
    <row r="32" ht="19.200000762939453" hidden="0" customHeight="1">
      <c r="A32" s="102" t="str">
        <v>Thuận lợi có điều kiện</v>
      </c>
      <c r="B32" s="115" t="n">
        <v>25000</v>
      </c>
      <c r="C32" s="116" t="n">
        <v>0.92</v>
      </c>
      <c r="D32" s="115" t="n">
        <v>30000</v>
      </c>
      <c r="E32" s="116" t="n">
        <v>0.7</v>
      </c>
      <c r="F32" s="115" t="n">
        <v>5000</v>
      </c>
      <c r="G32" s="102" t="str">
        <v>Kịch bản thuận lợi có điều kiện; Đông Sơn 27/08/2026; địa bàn chưa chốt; không phải báo giá CP04; thuế/cước chưa xác nhận</v>
      </c>
    </row>
    <row r="33" ht="15" hidden="0" customHeight="1">
      <c r="A33" s="113"/>
      <c r="B33" s="113"/>
      <c r="C33" s="113"/>
      <c r="D33" s="113"/>
      <c r="E33" s="113"/>
      <c r="F33" s="113"/>
      <c r="G33" s="113"/>
    </row>
    <row r="34">
      <c r="A34" s="103" t="str">
        <v>Giá, sản lượng và tỷ lệ thương phẩm không phải cam kết. Giá hữu cơ bằng 0 trong mô hình: chỉ bổ sung sau chứng nhận và hợp đồng có điều khoản giá bằng văn bản.</v>
      </c>
      <c r="B34" s="104"/>
      <c r="C34" s="104"/>
      <c r="D34" s="104"/>
      <c r="E34" s="104"/>
      <c r="F34" s="104"/>
      <c r="G34" s="105"/>
    </row>
    <row r="35">
      <c r="A35" s="106"/>
      <c r="B35" s="107"/>
      <c r="C35" s="107"/>
      <c r="D35" s="107"/>
      <c r="E35" s="107"/>
      <c r="F35" s="107"/>
      <c r="G35" s="108"/>
    </row>
    <row r="36">
      <c r="A36" s="109"/>
      <c r="B36" s="110"/>
      <c r="C36" s="110"/>
      <c r="D36" s="110"/>
      <c r="E36" s="110"/>
      <c r="F36" s="110"/>
      <c r="G36" s="111"/>
    </row>
    <row r="37" ht="15" hidden="0" customHeight="1">
      <c r="A37" s="113"/>
      <c r="B37" s="113"/>
      <c r="C37" s="113"/>
      <c r="D37" s="113"/>
      <c r="E37" s="113"/>
      <c r="F37" s="113"/>
      <c r="G37" s="113"/>
    </row>
    <row r="38" ht="15" hidden="0" customHeight="1">
      <c r="A38" s="92" t="str">
        <v>C. Giả định mô phỏng 5 năm – có thể chỉnh sửa</v>
      </c>
      <c r="B38" s="92"/>
      <c r="C38" s="92"/>
      <c r="D38" s="92"/>
      <c r="E38" s="92"/>
      <c r="F38" s="92"/>
      <c r="G38" s="92"/>
    </row>
    <row r="39" ht="15" hidden="0" customHeight="1">
      <c r="A39" s="98" t="str">
        <v>Mã</v>
      </c>
      <c r="B39" s="98" t="str">
        <v>Chỉ tiêu</v>
      </c>
      <c r="C39" s="98" t="str">
        <v>Đơn vị</v>
      </c>
      <c r="D39" s="98" t="str">
        <v>Giá trị</v>
      </c>
      <c r="E39" s="98" t="str">
        <v>Phân loại bằng chứng</v>
      </c>
      <c r="F39" s="98" t="str">
        <v>Nguồn/ngày</v>
      </c>
      <c r="G39" s="98" t="str">
        <v>Cách dùng</v>
      </c>
    </row>
    <row r="40" ht="15" hidden="0" customHeight="1">
      <c r="A40" s="102" t="str">
        <v>M01</v>
      </c>
      <c r="B40" s="102" t="str">
        <v>Thương phẩm năm 1</v>
      </c>
      <c r="C40" s="102" t="str">
        <v>kg</v>
      </c>
      <c r="D40" s="115" t="n">
        <v>18000</v>
      </c>
      <c r="E40" s="102" t="str">
        <v>Giả định lập kế hoạch</v>
      </c>
      <c r="F40" s="102" t="str">
        <v>Kịch bản cơ sở có điều kiện</v>
      </c>
      <c r="G40" s="102" t="str">
        <v>Tăng theo M12</v>
      </c>
    </row>
    <row r="41" ht="15" hidden="0" customHeight="1">
      <c r="A41" s="102" t="str">
        <v>M02</v>
      </c>
      <c r="B41" s="102" t="str">
        <v>Hàng loại năm 1</v>
      </c>
      <c r="C41" s="102" t="str">
        <v>kg</v>
      </c>
      <c r="D41" s="115" t="n">
        <v>2000</v>
      </c>
      <c r="E41" s="102" t="str">
        <v>Giả định lập kế hoạch</v>
      </c>
      <c r="F41" s="102" t="str">
        <v>Kịch bản cơ sở có điều kiện</v>
      </c>
      <c r="G41" s="102" t="str">
        <v>Tăng theo M12</v>
      </c>
    </row>
    <row r="42" ht="15" hidden="0" customHeight="1">
      <c r="A42" s="102" t="str">
        <v>M03</v>
      </c>
      <c r="B42" s="102" t="str">
        <v>Tỷ lệ thu hồi hàng loại</v>
      </c>
      <c r="C42" s="102" t="str">
        <v>%</v>
      </c>
      <c r="D42" s="116" t="n">
        <v>0.5</v>
      </c>
      <c r="E42" s="102" t="str">
        <v>Giả định lập kế hoạch</v>
      </c>
      <c r="F42" s="102" t="str">
        <v>Kịch bản cơ sở</v>
      </c>
      <c r="G42" s="102" t="str">
        <v>Không bán hàng có nguy cơ an toàn</v>
      </c>
    </row>
    <row r="43" ht="15" hidden="0" customHeight="1">
      <c r="A43" s="102" t="str">
        <v>M04</v>
      </c>
      <c r="B43" s="102" t="str">
        <v>Giá hàng loại</v>
      </c>
      <c r="C43" s="102" t="str">
        <v>đồng/kg</v>
      </c>
      <c r="D43" s="115" t="n">
        <v>3000</v>
      </c>
      <c r="E43" s="102" t="str">
        <v>Giả định lập kế hoạch</v>
      </c>
      <c r="F43" s="102" t="str">
        <v>Kịch bản cơ sở</v>
      </c>
      <c r="G43" s="102" t="str">
        <v>Thay bằng hợp đồng</v>
      </c>
    </row>
    <row r="44" ht="15" hidden="0" customHeight="1">
      <c r="A44" s="102" t="str">
        <v>M05</v>
      </c>
      <c r="B44" s="102" t="str">
        <v>Giá chính năm 1</v>
      </c>
      <c r="C44" s="102" t="str">
        <v>đồng/kg</v>
      </c>
      <c r="D44" s="115" t="n">
        <v>24000</v>
      </c>
      <c r="E44" s="102" t="str">
        <v>Điều kiện mô phỏng</v>
      </c>
      <c r="F44" s="102" t="str">
        <v>Chưa có hợp đồng</v>
      </c>
      <c r="G44" s="102" t="str">
        <v>Không phải giá bao tiêu</v>
      </c>
    </row>
    <row r="45" ht="15" hidden="0" customHeight="1">
      <c r="A45" s="102" t="str">
        <v>M06</v>
      </c>
      <c r="B45" s="102" t="str">
        <v>Giảm chi phí năm 1</v>
      </c>
      <c r="C45" s="102" t="str">
        <v>%</v>
      </c>
      <c r="D45" s="116" t="n">
        <v>0</v>
      </c>
      <c r="E45" s="102" t="str">
        <v>Lộ trình thận trọng</v>
      </c>
      <c r="F45" s="102" t="str">
        <v>Đông Sơn, 27/08/2026</v>
      </c>
      <c r="G45" s="102" t="str">
        <v>So với chi phí vận hành cơ sở</v>
      </c>
    </row>
    <row r="46" ht="15" hidden="0" customHeight="1">
      <c r="A46" s="102" t="str">
        <v>M07</v>
      </c>
      <c r="B46" s="102" t="str">
        <v>Giảm chi phí năm 2</v>
      </c>
      <c r="C46" s="102" t="str">
        <v>%</v>
      </c>
      <c r="D46" s="116" t="n">
        <v>0.05</v>
      </c>
      <c r="E46" s="102" t="str">
        <v>Lộ trình thận trọng</v>
      </c>
      <c r="F46" s="102" t="str">
        <v>Đông Sơn, 27/08/2026</v>
      </c>
      <c r="G46" s="102" t="str">
        <v>So với chi phí vận hành cơ sở</v>
      </c>
    </row>
    <row r="47" ht="15" hidden="0" customHeight="1">
      <c r="A47" s="102" t="str">
        <v>M08</v>
      </c>
      <c r="B47" s="102" t="str">
        <v>Giảm chi phí năm 3</v>
      </c>
      <c r="C47" s="102" t="str">
        <v>%</v>
      </c>
      <c r="D47" s="116" t="n">
        <v>0.1</v>
      </c>
      <c r="E47" s="102" t="str">
        <v>Lộ trình thận trọng</v>
      </c>
      <c r="F47" s="102" t="str">
        <v>Đông Sơn, 27/08/2026</v>
      </c>
      <c r="G47" s="102" t="str">
        <v>So với chi phí vận hành cơ sở</v>
      </c>
    </row>
    <row r="48" ht="15" hidden="0" customHeight="1">
      <c r="A48" s="102" t="str">
        <v>M09</v>
      </c>
      <c r="B48" s="102" t="str">
        <v>Giảm chi phí năm 4</v>
      </c>
      <c r="C48" s="102" t="str">
        <v>%</v>
      </c>
      <c r="D48" s="116" t="n">
        <v>0.125</v>
      </c>
      <c r="E48" s="102" t="str">
        <v>Lộ trình thận trọng</v>
      </c>
      <c r="F48" s="102" t="str">
        <v>Đông Sơn, 27/08/2026</v>
      </c>
      <c r="G48" s="102" t="str">
        <v>So với chi phí vận hành cơ sở</v>
      </c>
    </row>
    <row r="49" ht="15" hidden="0" customHeight="1">
      <c r="A49" s="102" t="str">
        <v>M10</v>
      </c>
      <c r="B49" s="102" t="str">
        <v>Giảm chi phí năm 5</v>
      </c>
      <c r="C49" s="102" t="str">
        <v>%</v>
      </c>
      <c r="D49" s="116" t="n">
        <v>0.15</v>
      </c>
      <c r="E49" s="102" t="str">
        <v>Lộ trình thận trọng</v>
      </c>
      <c r="F49" s="102" t="str">
        <v>Đông Sơn, 27/08/2026</v>
      </c>
      <c r="G49" s="102" t="str">
        <v>So với chi phí vận hành cơ sở</v>
      </c>
    </row>
    <row r="50" ht="15" hidden="0" customHeight="1">
      <c r="A50" s="102" t="str">
        <v>M11</v>
      </c>
      <c r="B50" s="102" t="str">
        <v>Tăng giá hằng năm</v>
      </c>
      <c r="C50" s="102" t="str">
        <v>%</v>
      </c>
      <c r="D50" s="116" t="n">
        <v>0</v>
      </c>
      <c r="E50" s="102" t="str">
        <v>Giả định lập kế hoạch</v>
      </c>
      <c r="F50" s="102" t="str">
        <v>Chưa có hợp đồng dài hạn</v>
      </c>
      <c r="G50" s="102" t="str">
        <v>Áp dụng từ năm 2</v>
      </c>
    </row>
    <row r="51" ht="15" hidden="0" customHeight="1">
      <c r="A51" s="102" t="str">
        <v>M12</v>
      </c>
      <c r="B51" s="102" t="str">
        <v>Tăng sản lượng hằng năm</v>
      </c>
      <c r="C51" s="102" t="str">
        <v>%</v>
      </c>
      <c r="D51" s="116" t="n">
        <v>0</v>
      </c>
      <c r="E51" s="102" t="str">
        <v>Giả định lập kế hoạch</v>
      </c>
      <c r="F51" s="102" t="str">
        <v>Chưa có dữ liệu lô thử</v>
      </c>
      <c r="G51" s="102" t="str">
        <v>Áp dụng từ năm 2</v>
      </c>
    </row>
    <row r="52" ht="15" hidden="0" customHeight="1">
      <c r="A52" s="102" t="str">
        <v>M13</v>
      </c>
      <c r="B52" s="102" t="str">
        <v>Lạm phát chi phí hằng năm</v>
      </c>
      <c r="C52" s="102" t="str">
        <v>%</v>
      </c>
      <c r="D52" s="116" t="n">
        <v>0.03</v>
      </c>
      <c r="E52" s="102" t="str">
        <v>Giả định lập kế hoạch</v>
      </c>
      <c r="F52" s="102" t="str">
        <v>Mô hình Rev.D</v>
      </c>
      <c r="G52" s="102" t="str">
        <v>Áp dụng từ năm 2</v>
      </c>
    </row>
    <row r="53" ht="15" hidden="0" customHeight="1">
      <c r="A53" s="102" t="str">
        <v>M14</v>
      </c>
      <c r="B53" s="102" t="str">
        <v>Thay thiết bị năm 3</v>
      </c>
      <c r="C53" s="102" t="str">
        <v>đồng</v>
      </c>
      <c r="D53" s="115" t="n">
        <v>15000000</v>
      </c>
      <c r="E53" s="102" t="str">
        <v>Giả định lập kế hoạch</v>
      </c>
      <c r="F53" s="102" t="str">
        <v>Mô hình Rev.D</v>
      </c>
      <c r="G53" s="102" t="str">
        <v>Dòng tiền ra năm 3</v>
      </c>
    </row>
    <row r="54" ht="15" hidden="0" customHeight="1">
      <c r="A54" s="102" t="str">
        <v>M15</v>
      </c>
      <c r="B54" s="102" t="str">
        <v>Tỷ lệ thu hồi vốn lưu động năm 5</v>
      </c>
      <c r="C54" s="102" t="str">
        <v>%</v>
      </c>
      <c r="D54" s="116" t="n">
        <v>1</v>
      </c>
      <c r="E54" s="102" t="str">
        <v>Giả định lập kế hoạch</v>
      </c>
      <c r="F54" s="102" t="str">
        <v>Mô hình Rev.D</v>
      </c>
      <c r="G54" s="102" t="str">
        <v>Không phải giá trị thanh lý</v>
      </c>
    </row>
    <row r="55" ht="19.200000762939453" hidden="0" customHeight="1">
      <c r="A55" s="102" t="str">
        <v>M16</v>
      </c>
      <c r="B55" s="102" t="str">
        <v>Tỷ lệ quản trị doanh nghiệp đưa vào dòng tiền dự án</v>
      </c>
      <c r="C55" s="102" t="str">
        <v>%</v>
      </c>
      <c r="D55" s="116" t="n">
        <v>1</v>
      </c>
      <c r="E55" s="102" t="str">
        <v>Quy ước mô hình</v>
      </c>
      <c r="F55" s="102" t="str">
        <v>Đông Sơn, 27/08/2026</v>
      </c>
      <c r="G55" s="102" t="str">
        <v>100% nghĩa là cộng đủ 24 triệu đồng/năm; không cộng lãi vay vào mô hình dòng tiền chiết khấu (DCF)</v>
      </c>
    </row>
    <row r="56" ht="15" hidden="0" customHeight="1">
      <c r="A56" s="92" t="str">
        <v>D. Khoản chưa gộp vào trường hợp cơ sở – nhập 0 có giải thích</v>
      </c>
      <c r="B56" s="92"/>
      <c r="C56" s="92"/>
      <c r="D56" s="92"/>
      <c r="E56" s="92"/>
      <c r="F56" s="92"/>
      <c r="G56" s="92"/>
    </row>
    <row r="57" ht="15" hidden="0" customHeight="1">
      <c r="A57" s="98" t="str">
        <v>Mã</v>
      </c>
      <c r="B57" s="98" t="str">
        <v>Chỉ tiêu</v>
      </c>
      <c r="C57" s="98" t="str">
        <v>Đơn vị</v>
      </c>
      <c r="D57" s="98" t="str">
        <v>Giá trị</v>
      </c>
      <c r="E57" s="98" t="str">
        <v>Phân loại bằng chứng</v>
      </c>
      <c r="F57" s="98" t="str">
        <v>Nguồn/ngày</v>
      </c>
      <c r="G57" s="98" t="str">
        <v>Cách dùng</v>
      </c>
    </row>
    <row r="58" ht="15" hidden="0" customHeight="1">
      <c r="A58" s="102" t="str">
        <v>X01</v>
      </c>
      <c r="B58" s="102" t="str">
        <v>Thuế và phí tài chính chưa gộp</v>
      </c>
      <c r="C58" s="102" t="str">
        <v>đồng/vụ</v>
      </c>
      <c r="D58" s="115" t="n">
        <v>0</v>
      </c>
      <c r="E58" s="102" t="str">
        <v>Chưa có chứng từ</v>
      </c>
      <c r="F58" s="102" t="str">
        <v>Chưa xác định</v>
      </c>
      <c r="G58" s="102" t="str">
        <v>Nhập khi có nghĩa vụ thực tế; không thay ô thiếu bằng 0</v>
      </c>
    </row>
    <row r="59" ht="15" hidden="0" customHeight="1">
      <c r="A59" s="102" t="str">
        <v>X02</v>
      </c>
      <c r="B59" s="102" t="str">
        <v>Bảo hiểm cây trồng</v>
      </c>
      <c r="C59" s="102" t="str">
        <v>đồng/vụ</v>
      </c>
      <c r="D59" s="115" t="n">
        <v>0</v>
      </c>
      <c r="E59" s="102" t="str">
        <v>Chưa có hợp đồng</v>
      </c>
      <c r="F59" s="102" t="str">
        <v>Chưa xác định</v>
      </c>
      <c r="G59" s="102" t="str">
        <v>Nhập phí bảo hiểm nếu chương trình tham gia</v>
      </c>
    </row>
    <row r="60" ht="19.200000762939453" hidden="0" customHeight="1">
      <c r="A60" s="102" t="str">
        <v>X03</v>
      </c>
      <c r="B60" s="102" t="str">
        <v>Thuế giá trị gia tăng không được khấu trừ và cước bổ sung</v>
      </c>
      <c r="C60" s="102" t="str">
        <v>đồng/vụ</v>
      </c>
      <c r="D60" s="115" t="n">
        <v>0</v>
      </c>
      <c r="E60" s="102" t="str">
        <v>Chưa có hóa đơn/báo giá</v>
      </c>
      <c r="F60" s="102" t="str">
        <v>Chưa xác định</v>
      </c>
      <c r="G60" s="102" t="str">
        <v>Chỉ cộng phần thực sự không nằm trong đơn giá hiện tại</v>
      </c>
    </row>
    <row r="61" ht="19.200000762939453" hidden="0" customHeight="1">
      <c r="A61" s="102" t="str">
        <v>X04</v>
      </c>
      <c r="B61" s="102" t="str">
        <v>Vốn lưu động đỉnh – mức thận trọng</v>
      </c>
      <c r="C61" s="102" t="str">
        <v>đồng</v>
      </c>
      <c r="D61" s="115" t="n">
        <v>328035000</v>
      </c>
      <c r="E61" s="102" t="str">
        <v>Kịch bản thanh khoản</v>
      </c>
      <c r="F61" s="102" t="str">
        <v>Giả định lịch thanh toán Rev.D</v>
      </c>
      <c r="G61" s="102" t="str">
        <v>Dùng để kiểm tra sức chịu đựng; thay khi có lịch thanh toán được xác nhận</v>
      </c>
    </row>
  </sheetData>
  <sheetProtection password="B07A" sheet="1" objects="1" scenarios="1" formatCells="1" formatColumns="1" formatRows="1" insertColumns="1" insertRows="1" deleteColumns="1" deleteRows="1" selectLockedCells="0" selectUnlockedCells="0"/>
  <mergeCells>
    <mergeCell ref="A1:G1"/>
    <mergeCell ref="A2:G3"/>
    <mergeCell ref="A4:G4"/>
    <mergeCell ref="A28:G28"/>
    <mergeCell ref="A34:G36"/>
    <mergeCell ref="A38:G38"/>
    <mergeCell ref="A56:G56"/>
  </mergeCells>
  <pageMargins left="0.7" right="0.7" top="0.75" bottom="0.75" header="0.3" footer="0.3"/>
</worksheet>
</file>

<file path=xl/worksheets/sheet3.xml><?xml version="1.0" encoding="utf-8"?>
<worksheet xmlns="http://schemas.openxmlformats.org/spreadsheetml/2006/main">
  <sheetViews>
    <sheetView showGridLines="0" workbookViewId="0"/>
  </sheetViews>
  <sheetFormatPr defaultRowHeight="15"/>
  <cols>
    <col min="1" max="1" width="16" hidden="0" customWidth="1"/>
    <col min="2" max="2" width="31" hidden="0" customWidth="1"/>
    <col min="3" max="3" width="18" hidden="0" customWidth="1"/>
    <col min="4" max="4" width="23" hidden="0" customWidth="1"/>
    <col min="5" max="5" width="24" hidden="0" customWidth="1"/>
    <col min="6" max="6" width="37" hidden="0" customWidth="1"/>
  </cols>
  <sheetData>
    <row r="1" ht="42" hidden="0" customHeight="1">
      <c r="A1" s="147" t="str">
        <v>ĐỊNH MỨC KỸ THUẬT VÀ CÁCH ĐO</v>
      </c>
      <c r="B1" s="147"/>
      <c r="C1" s="147"/>
      <c r="D1" s="147"/>
      <c r="E1" s="147"/>
      <c r="F1" s="147"/>
      <c r="G1" s="149"/>
    </row>
    <row r="2" ht="42" customHeight="1">
      <c r="A2" s="91" t="str">
        <v>Các giá trị là nguồn ớt cay chung hoặc mục tiêu kiểm chứng; chưa phải đặc tính CP04 đã xác nhận.</v>
      </c>
      <c r="B2" s="91"/>
      <c r="C2" s="91"/>
      <c r="D2" s="91"/>
      <c r="E2" s="91"/>
      <c r="F2" s="91"/>
    </row>
    <row r="3">
      <c r="A3" s="91"/>
      <c r="B3" s="91"/>
      <c r="C3" s="91"/>
      <c r="D3" s="91"/>
      <c r="E3" s="91"/>
      <c r="F3" s="91"/>
    </row>
    <row r="4" ht="15" hidden="0" customHeight="1">
      <c r="A4" s="98" t="str">
        <v>Nhóm</v>
      </c>
      <c r="B4" s="98" t="str">
        <v>Chỉ tiêu</v>
      </c>
      <c r="C4" s="98" t="str">
        <v>Đơn vị</v>
      </c>
      <c r="D4" s="98" t="str">
        <v>Giá trị/khung</v>
      </c>
      <c r="E4" s="98" t="str">
        <v>Tần suất</v>
      </c>
      <c r="F4" s="98" t="str">
        <v>Nguồn và giới hạn</v>
      </c>
    </row>
    <row r="5" ht="15" hidden="0" customHeight="1">
      <c r="A5" s="102" t="str">
        <v>Hình học</v>
      </c>
      <c r="B5" s="102" t="str">
        <v>Khoảng cách cây × hàng</v>
      </c>
      <c r="C5" s="102" t="str">
        <v>cm</v>
      </c>
      <c r="D5" s="102" t="str">
        <v>45–50 × 70</v>
      </c>
      <c r="E5" s="102" t="str">
        <v>Bản vẽ và kiểm hoàn công</v>
      </c>
      <c r="F5" s="102" t="str">
        <v>VAAS 2022; chưa riêng CP04</v>
      </c>
    </row>
    <row r="6" ht="15" hidden="0" customHeight="1">
      <c r="A6" s="102" t="str">
        <v>Hình học</v>
      </c>
      <c r="B6" s="102" t="str">
        <v>Mật độ khởi tạo</v>
      </c>
      <c r="C6" s="102" t="str">
        <v>cây/ha</v>
      </c>
      <c r="D6" s="102" t="str">
        <v>28.000–30.000</v>
      </c>
      <c r="E6" s="102" t="str">
        <v>Đếm toàn bộ khi trồng</v>
      </c>
      <c r="F6" s="102" t="str">
        <v>VAAS; hiệu chỉnh theo diện tích thực</v>
      </c>
    </row>
    <row r="7" ht="15" hidden="0" customHeight="1">
      <c r="A7" s="102" t="str">
        <v>Hạt</v>
      </c>
      <c r="B7" s="102" t="str">
        <v>Nảy mầm công bố</v>
      </c>
      <c r="C7" s="102" t="str">
        <v>%</v>
      </c>
      <c r="D7" s="102" t="str">
        <v>Từ 85</v>
      </c>
      <c r="E7" s="102" t="str">
        <v>Mỗi lô</v>
      </c>
      <c r="F7" s="102" t="str">
        <v>Bao bì CP04; phải thử lô</v>
      </c>
    </row>
    <row r="8" ht="15" hidden="0" customHeight="1">
      <c r="A8" s="102" t="str">
        <v>Ươm</v>
      </c>
      <c r="B8" s="102" t="str">
        <v>Độ sâu gieo</v>
      </c>
      <c r="C8" s="102" t="str">
        <v>mm</v>
      </c>
      <c r="D8" s="102" t="str">
        <v>5–7</v>
      </c>
      <c r="E8" s="102" t="str">
        <v>20 lỗ/mẻ</v>
      </c>
      <c r="F8" s="102" t="str">
        <v>VAAS 2022</v>
      </c>
    </row>
    <row r="9" ht="15" hidden="0" customHeight="1">
      <c r="A9" s="102" t="str">
        <v>Ươm</v>
      </c>
      <c r="B9" s="102" t="str">
        <v>Nhiệt độ nảy mầm</v>
      </c>
      <c r="C9" s="102" t="str">
        <v>°C</v>
      </c>
      <c r="D9" s="102" t="str">
        <v>25–30</v>
      </c>
      <c r="E9" s="102" t="str">
        <v>Sáng/chiều</v>
      </c>
      <c r="F9" s="102" t="str">
        <v>Ớt cay nói chung</v>
      </c>
    </row>
    <row r="10" ht="15" hidden="0" customHeight="1">
      <c r="A10" s="102" t="str">
        <v>Ươm</v>
      </c>
      <c r="B10" s="102" t="str">
        <v>Cây xuất vườn</v>
      </c>
      <c r="C10" s="102" t="str">
        <v>ngày; lá</v>
      </c>
      <c r="D10" s="102" t="str">
        <v>30–35 ngày; 5–6 lá thật</v>
      </c>
      <c r="E10" s="102" t="str">
        <v>Mỗi khay</v>
      </c>
      <c r="F10" s="102" t="str">
        <v>VAAS/Khuyến nông</v>
      </c>
    </row>
    <row r="11" ht="15" hidden="0" customHeight="1">
      <c r="A11" s="102" t="str">
        <v>Đất</v>
      </c>
      <c r="B11" s="102" t="str">
        <v>Độ chua/kiềm</v>
      </c>
      <c r="C11" s="102" t="str">
        <v>pH</v>
      </c>
      <c r="D11" s="102" t="str">
        <v>5,5–6,5</v>
      </c>
      <c r="E11" s="102" t="str">
        <v>Trước vụ</v>
      </c>
      <c r="F11" s="102" t="str">
        <v>Ớt cay nói chung</v>
      </c>
    </row>
    <row r="12" ht="15" hidden="0" customHeight="1">
      <c r="A12" s="102" t="str">
        <v>Đất</v>
      </c>
      <c r="B12" s="102" t="str">
        <v>Compost</v>
      </c>
      <c r="C12" s="102" t="str">
        <v>tấn/ha</v>
      </c>
      <c r="D12" s="102" t="str">
        <v>25–30</v>
      </c>
      <c r="E12" s="102" t="str">
        <v>Mỗi lô</v>
      </c>
      <c r="F12" s="102" t="str">
        <v>VAAS; không phải đơn thuốc</v>
      </c>
    </row>
    <row r="13" ht="15" hidden="0" customHeight="1">
      <c r="A13" s="102" t="str">
        <v>Nước</v>
      </c>
      <c r="B13" s="102" t="str">
        <v>Lượng bốc thoát hơi mùa vụ</v>
      </c>
      <c r="C13" s="102" t="str">
        <v>mm/vụ</v>
      </c>
      <c r="D13" s="102" t="str">
        <v>600–900</v>
      </c>
      <c r="E13" s="102" t="str">
        <v>Theo thời tiết</v>
      </c>
      <c r="F13" s="102" t="str">
        <v>FAO; không phải hạn mức tưới</v>
      </c>
    </row>
    <row r="14" ht="15" hidden="0" customHeight="1">
      <c r="A14" s="102" t="str">
        <v>Nước</v>
      </c>
      <c r="B14" s="102" t="str">
        <v>Hệ số cây trồng đầu/giữa/cuối</v>
      </c>
      <c r="C14" s="102" t="str">
        <v>không thứ nguyên</v>
      </c>
      <c r="D14" s="102" t="str">
        <v>0,60 / 1,05 / 0,90</v>
      </c>
      <c r="E14" s="102" t="str">
        <v>Theo giai đoạn</v>
      </c>
      <c r="F14" s="102" t="str">
        <v>FAO 56 cho ớt nói chung</v>
      </c>
    </row>
    <row r="15" ht="15" hidden="0" customHeight="1">
      <c r="A15" s="102" t="str">
        <v>Tưới</v>
      </c>
      <c r="B15" s="102" t="str">
        <v>Độ đồng đều mục tiêu</v>
      </c>
      <c r="C15" s="102" t="str">
        <v>%</v>
      </c>
      <c r="D15" s="102" t="str">
        <v>Từ 85</v>
      </c>
      <c r="E15" s="102" t="str">
        <v>Trước trồng, mỗi tháng, sau sửa</v>
      </c>
      <c r="F15" s="102" t="str">
        <v>Mục tiêu quản trị nội bộ</v>
      </c>
    </row>
    <row r="16" ht="15" hidden="0" customHeight="1">
      <c r="A16" s="102" t="str">
        <v>Giám sát</v>
      </c>
      <c r="B16" s="102" t="str">
        <v>Cây luân phiên</v>
      </c>
      <c r="C16" s="102" t="str">
        <v>cây/lượt</v>
      </c>
      <c r="D16" s="102" t="str">
        <v>50 = 5 vùng × 10</v>
      </c>
      <c r="E16" s="102" t="str">
        <v>Tối thiểu 2 lần/tuần</v>
      </c>
      <c r="F16" s="102" t="str">
        <v>Thiết kế nội bộ</v>
      </c>
    </row>
    <row r="17" ht="15" hidden="0" customHeight="1">
      <c r="A17" s="102" t="str">
        <v>Giám sát</v>
      </c>
      <c r="B17" s="102" t="str">
        <v>Bẫy dính đang hoạt động</v>
      </c>
      <c r="C17" s="102" t="str">
        <v>bẫy/ha</v>
      </c>
      <c r="D17" s="102" t="str">
        <v>20</v>
      </c>
      <c r="E17" s="102" t="str">
        <v>Đọc theo bẫy/ngày</v>
      </c>
      <c r="F17" s="102" t="str">
        <v>Thiết kế nội bộ</v>
      </c>
    </row>
    <row r="18" ht="15" hidden="0" customHeight="1">
      <c r="A18" s="102" t="str">
        <v>Sinh trưởng</v>
      </c>
      <c r="B18" s="102" t="str">
        <v>Cây gắn thẻ cố định</v>
      </c>
      <c r="C18" s="102" t="str">
        <v>cây</v>
      </c>
      <c r="D18" s="102" t="str">
        <v>240 = 4 khối × 60</v>
      </c>
      <c r="E18" s="102" t="str">
        <v>Hằng tuần</v>
      </c>
      <c r="F18" s="102" t="str">
        <v>Thiết kế nội bộ</v>
      </c>
    </row>
    <row r="19" ht="15" hidden="0" customHeight="1">
      <c r="A19" s="102" t="str">
        <v>Thu hoạch</v>
      </c>
      <c r="B19" s="102" t="str">
        <v>Mẫu phân hạng</v>
      </c>
      <c r="C19" s="102" t="str">
        <v>quả/lô</v>
      </c>
      <c r="D19" s="102" t="str">
        <v>100</v>
      </c>
      <c r="E19" s="102" t="str">
        <v>Mỗi lô</v>
      </c>
      <c r="F19" s="102" t="str">
        <v>Mục tiêu quản trị; hợp đồng chốt dung sai</v>
      </c>
    </row>
    <row r="20" ht="15" hidden="0" customHeight="1">
      <c r="A20" s="102" t="str">
        <v>Truy xuất</v>
      </c>
      <c r="B20" s="102" t="str">
        <v>Cân bằng khối lượng</v>
      </c>
      <c r="C20" s="102" t="str">
        <v>% chênh lệch</v>
      </c>
      <c r="D20" s="102" t="str">
        <v>Cảnh báo trên 2% không giải trình</v>
      </c>
      <c r="E20" s="102" t="str">
        <v>Tuần/vụ</v>
      </c>
      <c r="F20" s="102" t="str">
        <v>Mục tiêu quản trị nội bộ</v>
      </c>
    </row>
    <row r="21" ht="15" hidden="0" customHeight="1">
      <c r="A21" s="113"/>
      <c r="B21" s="113"/>
      <c r="C21" s="113"/>
      <c r="D21" s="113"/>
      <c r="E21" s="113"/>
      <c r="F21" s="113"/>
    </row>
    <row r="22">
      <c r="A22" s="103" t="str">
        <v>QCVN 01-64:2011/BNNPTNT đã bị bãi bỏ từ 05/02/2024. Nếu dùng phương pháp đo lịch sử của tài liệu này, phải ghi rõ là tham chiếu kỹ thuật, không phải căn cứ tuân thủ.</v>
      </c>
      <c r="B22" s="104"/>
      <c r="C22" s="104"/>
      <c r="D22" s="104"/>
      <c r="E22" s="104"/>
      <c r="F22" s="105"/>
    </row>
    <row r="23">
      <c r="A23" s="106"/>
      <c r="B23" s="107"/>
      <c r="C23" s="107"/>
      <c r="D23" s="107"/>
      <c r="E23" s="107"/>
      <c r="F23" s="108"/>
    </row>
    <row r="24">
      <c r="A24" s="109"/>
      <c r="B24" s="110"/>
      <c r="C24" s="110"/>
      <c r="D24" s="110"/>
      <c r="E24" s="110"/>
      <c r="F24" s="111"/>
    </row>
  </sheetData>
  <sheetProtection password="B07A" sheet="1" objects="1" scenarios="1" formatCells="1" formatColumns="1" formatRows="1" insertColumns="1" insertRows="1" deleteColumns="1" deleteRows="1" selectLockedCells="0" selectUnlockedCells="0"/>
  <mergeCells>
    <mergeCell ref="A1:F1"/>
    <mergeCell ref="A2:F3"/>
    <mergeCell ref="A22:F24"/>
  </mergeCells>
  <pageMargins left="0.7" right="0.7" top="0.75" bottom="0.75" header="0.3" footer="0.3"/>
</worksheet>
</file>

<file path=xl/worksheets/sheet4.xml><?xml version="1.0" encoding="utf-8"?>
<worksheet xmlns="http://schemas.openxmlformats.org/spreadsheetml/2006/main">
  <sheetViews>
    <sheetView showGridLines="0" workbookViewId="0"/>
  </sheetViews>
  <sheetFormatPr defaultRowHeight="15"/>
  <cols>
    <col min="1" max="1" width="10" hidden="0" customWidth="1"/>
    <col min="2" max="2" width="18" hidden="0" customWidth="1"/>
    <col min="3" max="3" width="38" hidden="0" customWidth="1"/>
    <col min="4" max="4" width="15" hidden="0" customWidth="1"/>
    <col min="5" max="5" width="17" hidden="0" customWidth="1"/>
    <col min="6" max="6" width="17" hidden="0" customWidth="1"/>
    <col min="7" max="7" width="18" hidden="0" customWidth="1"/>
    <col min="8" max="8" width="24" hidden="0" customWidth="1"/>
    <col min="9" max="9" width="40" hidden="0" customWidth="1"/>
  </cols>
  <sheetData>
    <row r="1" ht="42" hidden="0" customHeight="1">
      <c r="A1" s="147" t="str">
        <v>CHI PHÍ VẬN HÀNH CÓ PHÂN BỔ – KỊCH BẢN THAM CHIẾU</v>
      </c>
      <c r="B1" s="147"/>
      <c r="C1" s="147"/>
      <c r="D1" s="147"/>
      <c r="E1" s="147"/>
      <c r="F1" s="147"/>
      <c r="G1" s="147"/>
      <c r="H1" s="90"/>
      <c r="I1" s="90"/>
    </row>
    <row r="2" ht="42" customHeight="1">
      <c r="A2" s="91" t="str">
        <v>Tất cả dòng có số lượng, đơn vị, đơn giá, công thức thành tiền và trạng thái nguồn. Dòng cuối tự tính dự phòng 5%; đây không phải báo giá hoặc cam kết bao tiêu của Đông Sơn.</v>
      </c>
      <c r="B2" s="91"/>
      <c r="C2" s="91"/>
      <c r="D2" s="91"/>
      <c r="E2" s="91"/>
      <c r="F2" s="91"/>
      <c r="G2" s="91"/>
      <c r="H2" s="91"/>
      <c r="I2" s="91"/>
    </row>
    <row r="3">
      <c r="A3" s="91"/>
      <c r="B3" s="91"/>
      <c r="C3" s="91"/>
      <c r="D3" s="91"/>
      <c r="E3" s="91"/>
      <c r="F3" s="91"/>
      <c r="G3" s="91"/>
      <c r="H3" s="91"/>
      <c r="I3" s="91"/>
    </row>
    <row r="4" ht="15" hidden="0" customHeight="1">
      <c r="A4" s="98" t="str">
        <v>Mã</v>
      </c>
      <c r="B4" s="98" t="str">
        <v>Nhóm</v>
      </c>
      <c r="C4" s="98" t="str">
        <v>Hạng mục</v>
      </c>
      <c r="D4" s="98" t="str">
        <v>Số lượng</v>
      </c>
      <c r="E4" s="98" t="str">
        <v>Đơn vị</v>
      </c>
      <c r="F4" s="98" t="str">
        <v>Đơn giá</v>
      </c>
      <c r="G4" s="98" t="str">
        <v>Thành tiền</v>
      </c>
      <c r="H4" s="98" t="str">
        <v>Phân loại</v>
      </c>
      <c r="I4" s="98" t="str">
        <v>Nguồn/ghi chú</v>
      </c>
    </row>
    <row r="5" ht="28.799999237060547" hidden="0" customHeight="1">
      <c r="A5" s="102" t="str">
        <v>CP01</v>
      </c>
      <c r="B5" s="102" t="str">
        <v>Vườn ươm</v>
      </c>
      <c r="C5" s="102" t="str">
        <v>Hạt giống Chánh Phong 04</v>
      </c>
      <c r="D5" s="117" t="n">
        <v>40</v>
      </c>
      <c r="E5" s="114" t="str">
        <v>gói</v>
      </c>
      <c r="F5" s="115" t="n">
        <v>135000</v>
      </c>
      <c r="G5" s="101" t="n">
        <f>D5*F5</f>
        <v>5400000</v>
      </c>
      <c r="H5" s="102" t="str">
        <v>Giá thị trường/quan sát</v>
      </c>
      <c r="I5" s="102" t="str">
        <v>Giá niêm yết; khóa sau đếm hạt/gói. Loại nguồn: niêm yết công khai trực tuyến; rà soát 27/08/2026; phạm vi Việt Nam, chưa phải báo giá giao B-FARM; thuế và cước chưa xác nhận</v>
      </c>
    </row>
    <row r="6" ht="28.799999237060547" hidden="0" customHeight="1">
      <c r="A6" s="102" t="str">
        <v>CP02</v>
      </c>
      <c r="B6" s="102" t="str">
        <v>Vườn ươm</v>
      </c>
      <c r="C6" s="102" t="str">
        <v>Phân bổ khay ươm 128 lỗ</v>
      </c>
      <c r="D6" s="117" t="n">
        <v>355</v>
      </c>
      <c r="E6" s="114" t="str">
        <v>khay-vụ</v>
      </c>
      <c r="F6" s="115" t="n">
        <f>TAI_SAN!C6/TAI_SAN!D6/355</f>
        <v>4830.985915492958</v>
      </c>
      <c r="G6" s="101" t="n">
        <f>D6*F6</f>
        <v>1715000.0000000002</v>
      </c>
      <c r="H6" s="102" t="str">
        <v>Giả định lập kế hoạch</v>
      </c>
      <c r="I6" s="102" t="str">
        <v>6,86 triệu đồng chia 4 vụ; 338 khay sử dụng + 17 dự phòng. Loại nguồn: giả định lập kế hoạch; Đông Sơn 27/08/2026; địa bàn B-FARM/vùng đề xuất chưa chốt; thuế và cước chưa xác nhận nếu không ghi riêng</v>
      </c>
    </row>
    <row r="7" ht="28.799999237060547" hidden="0" customHeight="1">
      <c r="A7" s="102" t="str">
        <v>CP03</v>
      </c>
      <c r="B7" s="102" t="str">
        <v>Vườn ươm</v>
      </c>
      <c r="C7" s="102" t="str">
        <v>Giá thể ươm 50 lít</v>
      </c>
      <c r="D7" s="117" t="n">
        <v>30</v>
      </c>
      <c r="E7" s="114" t="str">
        <v>bao</v>
      </c>
      <c r="F7" s="115" t="n">
        <v>127000</v>
      </c>
      <c r="G7" s="101" t="n">
        <f>D7*F7</f>
        <v>3810000</v>
      </c>
      <c r="H7" s="102" t="str">
        <v>Giả định lập kế hoạch</v>
      </c>
      <c r="I7" s="102" t="str">
        <v>Giá thị trường; đo thể tích khay. Loại nguồn: giả định lập kế hoạch; Đông Sơn 27/08/2026; địa bàn B-FARM/vùng đề xuất chưa chốt; thuế và cước chưa xác nhận nếu không ghi riêng</v>
      </c>
    </row>
    <row r="8" ht="28.799999237060547" hidden="0" customHeight="1">
      <c r="A8" s="102" t="str">
        <v>CP04</v>
      </c>
      <c r="B8" s="102" t="str">
        <v>Vườn ươm</v>
      </c>
      <c r="C8" s="102" t="str">
        <v>Nhãn và vệ sinh khu ươm</v>
      </c>
      <c r="D8" s="117" t="n">
        <v>1</v>
      </c>
      <c r="E8" s="114" t="str">
        <v>gói</v>
      </c>
      <c r="F8" s="115" t="n">
        <v>800000</v>
      </c>
      <c r="G8" s="101" t="n">
        <f>D8*F8</f>
        <v>800000</v>
      </c>
      <c r="H8" s="102" t="str">
        <v>Giả định lập kế hoạch</v>
      </c>
      <c r="I8" s="102" t="str">
        <v>Giả định lập kế hoạch. Loại nguồn: giả định lập kế hoạch; Đông Sơn 27/08/2026; địa bàn B-FARM/vùng đề xuất chưa chốt; thuế và cước chưa xác nhận nếu không ghi riêng</v>
      </c>
    </row>
    <row r="9" ht="28.799999237060547" hidden="0" customHeight="1">
      <c r="A9" s="102" t="str">
        <v>CP05</v>
      </c>
      <c r="B9" s="102" t="str">
        <v>Vườn ươm</v>
      </c>
      <c r="C9" s="102" t="str">
        <v>Lao động vườn ươm</v>
      </c>
      <c r="D9" s="117" t="n">
        <v>18</v>
      </c>
      <c r="E9" s="114" t="str">
        <v>công</v>
      </c>
      <c r="F9" s="115" t="n">
        <v>300000</v>
      </c>
      <c r="G9" s="101" t="n">
        <f>D9*F9</f>
        <v>5400000</v>
      </c>
      <c r="H9" s="102" t="str">
        <v>Giả định lập kế hoạch</v>
      </c>
      <c r="I9" s="102" t="str">
        <v>Chấm giờ thực tế. Loại nguồn: giả định lập kế hoạch; Đông Sơn 27/08/2026; địa bàn B-FARM/vùng đề xuất chưa chốt; thuế và cước chưa xác nhận nếu không ghi riêng</v>
      </c>
    </row>
    <row r="10" ht="28.799999237060547" hidden="0" customHeight="1">
      <c r="A10" s="102" t="str">
        <v>CP06</v>
      </c>
      <c r="B10" s="102" t="str">
        <v>Tuân thủ</v>
      </c>
      <c r="C10" s="102" t="str">
        <v>Đất, nước, compost và vận chuyển mẫu</v>
      </c>
      <c r="D10" s="117" t="n">
        <v>1</v>
      </c>
      <c r="E10" s="114" t="str">
        <v>gói</v>
      </c>
      <c r="F10" s="115" t="n">
        <v>8000000</v>
      </c>
      <c r="G10" s="101" t="n">
        <f>D10*F10</f>
        <v>8000000</v>
      </c>
      <c r="H10" s="102" t="str">
        <v>Giả định lập kế hoạch</v>
      </c>
      <c r="I10" s="102" t="str">
        <v>Lấy báo giá phòng thử nghiệm. Loại nguồn: giả định lập kế hoạch; Đông Sơn 27/08/2026; địa bàn B-FARM/vùng đề xuất chưa chốt; thuế và cước chưa xác nhận nếu không ghi riêng</v>
      </c>
    </row>
    <row r="11" ht="28.799999237060547" hidden="0" customHeight="1">
      <c r="A11" s="102" t="str">
        <v>CP07</v>
      </c>
      <c r="B11" s="102" t="str">
        <v>Chuẩn bị ruộng</v>
      </c>
      <c r="C11" s="102" t="str">
        <v>Làm đất, luống và thoát nước</v>
      </c>
      <c r="D11" s="117" t="n">
        <v>1</v>
      </c>
      <c r="E11" s="114" t="str">
        <v>ha</v>
      </c>
      <c r="F11" s="115" t="n">
        <v>15000000</v>
      </c>
      <c r="G11" s="101" t="n">
        <f>D11*F11</f>
        <v>15000000</v>
      </c>
      <c r="H11" s="102" t="str">
        <v>Giả định lập kế hoạch</v>
      </c>
      <c r="I11" s="102" t="str">
        <v>Giả định lập kế hoạch. Loại nguồn: giả định lập kế hoạch; Đông Sơn 27/08/2026; địa bàn B-FARM/vùng đề xuất chưa chốt; thuế và cước chưa xác nhận nếu không ghi riêng</v>
      </c>
    </row>
    <row r="12" ht="28.799999237060547" hidden="0" customHeight="1">
      <c r="A12" s="102" t="str">
        <v>CP08</v>
      </c>
      <c r="B12" s="102" t="str">
        <v>Dinh dưỡng</v>
      </c>
      <c r="C12" s="102" t="str">
        <v>Compost trưởng thành giao tại ruộng</v>
      </c>
      <c r="D12" s="117" t="n">
        <v>25</v>
      </c>
      <c r="E12" s="114" t="str">
        <v>tấn</v>
      </c>
      <c r="F12" s="115" t="n">
        <v>2500000</v>
      </c>
      <c r="G12" s="101" t="n">
        <f>D12*F12</f>
        <v>62500000</v>
      </c>
      <c r="H12" s="102" t="str">
        <v>Giả định lập kế hoạch</v>
      </c>
      <c r="I12" s="102" t="str">
        <v>Giá khối lượng lớn; phải có hồ sơ lô. Loại nguồn: giả định lập kế hoạch; Đông Sơn 27/08/2026; địa bàn B-FARM/vùng đề xuất chưa chốt; thuế và cước chưa xác nhận nếu không ghi riêng</v>
      </c>
    </row>
    <row r="13" ht="28.799999237060547" hidden="0" customHeight="1">
      <c r="A13" s="102" t="str">
        <v>CP09</v>
      </c>
      <c r="B13" s="102" t="str">
        <v>Dinh dưỡng</v>
      </c>
      <c r="C13" s="102" t="str">
        <v>Vôi khi phân tích chứng minh nhu cầu</v>
      </c>
      <c r="D13" s="117" t="n">
        <v>500</v>
      </c>
      <c r="E13" s="114" t="str">
        <v>kg</v>
      </c>
      <c r="F13" s="115" t="n">
        <v>2000</v>
      </c>
      <c r="G13" s="101" t="n">
        <f>D13*F13</f>
        <v>1000000</v>
      </c>
      <c r="H13" s="102" t="str">
        <v>Giả định lập kế hoạch</v>
      </c>
      <c r="I13" s="102" t="str">
        <v>Có thể bằng 0 nếu không cần; phải có kết quả đất. Loại nguồn: giả định lập kế hoạch; Đông Sơn 27/08/2026; địa bàn B-FARM/vùng đề xuất chưa chốt; thuế và cước chưa xác nhận nếu không ghi riêng</v>
      </c>
    </row>
    <row r="14" ht="28.799999237060547" hidden="0" customHeight="1">
      <c r="A14" s="102" t="str">
        <v>CP10</v>
      </c>
      <c r="B14" s="102" t="str">
        <v>Dinh dưỡng</v>
      </c>
      <c r="C14" s="102" t="str">
        <v>Dinh dưỡng hữu cơ bổ sung được phê duyệt</v>
      </c>
      <c r="D14" s="117" t="n">
        <v>1</v>
      </c>
      <c r="E14" s="114" t="str">
        <v>ngân sách</v>
      </c>
      <c r="F14" s="115" t="n">
        <v>15000000</v>
      </c>
      <c r="G14" s="101" t="n">
        <f>D14*F14</f>
        <v>15000000</v>
      </c>
      <c r="H14" s="102" t="str">
        <v>Giả định lập kế hoạch</v>
      </c>
      <c r="I14" s="102" t="str">
        <v>Không phải đơn thuốc. Loại nguồn: giả định lập kế hoạch; Đông Sơn 27/08/2026; địa bàn B-FARM/vùng đề xuất chưa chốt; thuế và cước chưa xác nhận nếu không ghi riêng</v>
      </c>
    </row>
    <row r="15" ht="28.799999237060547" hidden="0" customHeight="1">
      <c r="A15" s="102" t="str">
        <v>CP11</v>
      </c>
      <c r="B15" s="102" t="str">
        <v>Chuẩn bị ruộng</v>
      </c>
      <c r="C15" s="102" t="str">
        <v>Rải phân và hoàn thiện luống</v>
      </c>
      <c r="D15" s="117" t="n">
        <v>35</v>
      </c>
      <c r="E15" s="114" t="str">
        <v>công</v>
      </c>
      <c r="F15" s="115" t="n">
        <v>300000</v>
      </c>
      <c r="G15" s="101" t="n">
        <f>D15*F15</f>
        <v>10500000</v>
      </c>
      <c r="H15" s="102" t="str">
        <v>Giả định lập kế hoạch</v>
      </c>
      <c r="I15" s="102" t="str">
        <v>Giả định lập kế hoạch. Loại nguồn: giả định lập kế hoạch; Đông Sơn 27/08/2026; địa bàn B-FARM/vùng đề xuất chưa chốt; thuế và cước chưa xác nhận nếu không ghi riêng</v>
      </c>
    </row>
    <row r="16" ht="28.799999237060547" hidden="0" customHeight="1">
      <c r="A16" s="102" t="str">
        <v>CP12</v>
      </c>
      <c r="B16" s="102" t="str">
        <v>Hạ tầng vụ</v>
      </c>
      <c r="C16" s="102" t="str">
        <v>Màng phủ</v>
      </c>
      <c r="D16" s="117" t="n">
        <v>20</v>
      </c>
      <c r="E16" s="114" t="str">
        <v>cuộn</v>
      </c>
      <c r="F16" s="115" t="n">
        <v>530000</v>
      </c>
      <c r="G16" s="101" t="n">
        <f>D16*F16</f>
        <v>10600000</v>
      </c>
      <c r="H16" s="102" t="str">
        <v>Giá thị trường/quan sát</v>
      </c>
      <c r="I16" s="102" t="str">
        <v>Giá niêm yết. Loại nguồn: niêm yết công khai trực tuyến; rà soát 27/08/2026; phạm vi Việt Nam, chưa phải báo giá giao B-FARM; thuế và cước chưa xác nhận</v>
      </c>
    </row>
    <row r="17" ht="28.799999237060547" hidden="0" customHeight="1">
      <c r="A17" s="102" t="str">
        <v>CP13</v>
      </c>
      <c r="B17" s="102" t="str">
        <v>Hạ tầng vụ</v>
      </c>
      <c r="C17" s="102" t="str">
        <v>Dây tưới nhỏ giọt</v>
      </c>
      <c r="D17" s="117" t="n">
        <v>15</v>
      </c>
      <c r="E17" s="114" t="str">
        <v>cuộn</v>
      </c>
      <c r="F17" s="115" t="n">
        <v>700000</v>
      </c>
      <c r="G17" s="101" t="n">
        <f>D17*F17</f>
        <v>10500000</v>
      </c>
      <c r="H17" s="102" t="str">
        <v>Giả định lập kế hoạch</v>
      </c>
      <c r="I17" s="102" t="str">
        <v>Hiệu chỉnh theo bản vẽ. Loại nguồn: giả định lập kế hoạch; Đông Sơn 27/08/2026; địa bàn B-FARM/vùng đề xuất chưa chốt; thuế và cước chưa xác nhận nếu không ghi riêng</v>
      </c>
    </row>
    <row r="18" ht="28.799999237060547" hidden="0" customHeight="1">
      <c r="A18" s="102" t="str">
        <v>CP14</v>
      </c>
      <c r="B18" s="102" t="str">
        <v>Hạ tầng vụ</v>
      </c>
      <c r="C18" s="102" t="str">
        <v>Đầu nối, van và sửa chữa</v>
      </c>
      <c r="D18" s="117" t="n">
        <v>1</v>
      </c>
      <c r="E18" s="114" t="str">
        <v>bộ</v>
      </c>
      <c r="F18" s="115" t="n">
        <v>3000000</v>
      </c>
      <c r="G18" s="101" t="n">
        <f>D18*F18</f>
        <v>3000000</v>
      </c>
      <c r="H18" s="102" t="str">
        <v>Giả định lập kế hoạch</v>
      </c>
      <c r="I18" s="102" t="str">
        <v>Giả định lập kế hoạch. Loại nguồn: giả định lập kế hoạch; Đông Sơn 27/08/2026; địa bàn B-FARM/vùng đề xuất chưa chốt; thuế và cước chưa xác nhận nếu không ghi riêng</v>
      </c>
    </row>
    <row r="19" ht="28.799999237060547" hidden="0" customHeight="1">
      <c r="A19" s="102" t="str">
        <v>CP15</v>
      </c>
      <c r="B19" s="102" t="str">
        <v>Hạ tầng vụ</v>
      </c>
      <c r="C19" s="102" t="str">
        <v>Cọc</v>
      </c>
      <c r="D19" s="117" t="n">
        <v>2200</v>
      </c>
      <c r="E19" s="114" t="str">
        <v>cọc</v>
      </c>
      <c r="F19" s="115" t="n">
        <v>3500</v>
      </c>
      <c r="G19" s="101" t="n">
        <f>D19*F19</f>
        <v>7700000</v>
      </c>
      <c r="H19" s="102" t="str">
        <v>Giả định lập kế hoạch</v>
      </c>
      <c r="I19" s="102" t="str">
        <v>Xác nhận thiết kế giàn. Loại nguồn: giả định lập kế hoạch; Đông Sơn 27/08/2026; địa bàn B-FARM/vùng đề xuất chưa chốt; thuế và cước chưa xác nhận nếu không ghi riêng</v>
      </c>
    </row>
    <row r="20" ht="28.799999237060547" hidden="0" customHeight="1">
      <c r="A20" s="102" t="str">
        <v>CP16</v>
      </c>
      <c r="B20" s="102" t="str">
        <v>Hạ tầng vụ</v>
      </c>
      <c r="C20" s="102" t="str">
        <v>Dây buộc</v>
      </c>
      <c r="D20" s="117" t="n">
        <v>60</v>
      </c>
      <c r="E20" s="114" t="str">
        <v>kg</v>
      </c>
      <c r="F20" s="115" t="n">
        <v>20000</v>
      </c>
      <c r="G20" s="101" t="n">
        <f>D20*F20</f>
        <v>1200000</v>
      </c>
      <c r="H20" s="102" t="str">
        <v>Giả định lập kế hoạch</v>
      </c>
      <c r="I20" s="102" t="str">
        <v>Giả định lập kế hoạch. Loại nguồn: giả định lập kế hoạch; Đông Sơn 27/08/2026; địa bàn B-FARM/vùng đề xuất chưa chốt; thuế và cước chưa xác nhận nếu không ghi riêng</v>
      </c>
    </row>
    <row r="21" ht="28.799999237060547" hidden="0" customHeight="1">
      <c r="A21" s="102" t="str">
        <v>CP17</v>
      </c>
      <c r="B21" s="102" t="str">
        <v>Hạ tầng vụ</v>
      </c>
      <c r="C21" s="102" t="str">
        <v>Công lắp phủ, tưới, cọc và dây</v>
      </c>
      <c r="D21" s="117" t="n">
        <v>40</v>
      </c>
      <c r="E21" s="114" t="str">
        <v>công</v>
      </c>
      <c r="F21" s="115" t="n">
        <v>300000</v>
      </c>
      <c r="G21" s="101" t="n">
        <f>D21*F21</f>
        <v>12000000</v>
      </c>
      <c r="H21" s="102" t="str">
        <v>Giả định lập kế hoạch</v>
      </c>
      <c r="I21" s="102" t="str">
        <v>Chấm giờ thực tế. Loại nguồn: giả định lập kế hoạch; Đông Sơn 27/08/2026; địa bàn B-FARM/vùng đề xuất chưa chốt; thuế và cước chưa xác nhận nếu không ghi riêng</v>
      </c>
    </row>
    <row r="22" ht="28.799999237060547" hidden="0" customHeight="1">
      <c r="A22" s="102" t="str">
        <v>CP18</v>
      </c>
      <c r="B22" s="102" t="str">
        <v>Dịch hại</v>
      </c>
      <c r="C22" s="102" t="str">
        <v>Bẫy dính màu</v>
      </c>
      <c r="D22" s="117" t="n">
        <v>1</v>
      </c>
      <c r="E22" s="114" t="str">
        <v>bộ/vụ</v>
      </c>
      <c r="F22" s="115" t="n">
        <v>2400000</v>
      </c>
      <c r="G22" s="101" t="n">
        <f>D22*F22</f>
        <v>2400000</v>
      </c>
      <c r="H22" s="102" t="str">
        <v>Giả định lập kế hoạch</v>
      </c>
      <c r="I22" s="102" t="str">
        <v>Thay theo độ bẩn. Loại nguồn: giả định lập kế hoạch; Đông Sơn 27/08/2026; địa bàn B-FARM/vùng đề xuất chưa chốt; thuế và cước chưa xác nhận nếu không ghi riêng</v>
      </c>
    </row>
    <row r="23" ht="28.799999237060547" hidden="0" customHeight="1">
      <c r="A23" s="102" t="str">
        <v>CP19</v>
      </c>
      <c r="B23" s="102" t="str">
        <v>Dịch hại</v>
      </c>
      <c r="C23" s="102" t="str">
        <v>Chế phẩm sinh học và xử lý được duyệt</v>
      </c>
      <c r="D23" s="117" t="n">
        <v>1</v>
      </c>
      <c r="E23" s="114" t="str">
        <v>ngân sách</v>
      </c>
      <c r="F23" s="115" t="n">
        <v>8000000</v>
      </c>
      <c r="G23" s="101" t="n">
        <f>D23*F23</f>
        <v>8000000</v>
      </c>
      <c r="H23" s="102" t="str">
        <v>Giả định lập kế hoạch</v>
      </c>
      <c r="I23" s="102" t="str">
        <v>Chỉ mua sau chẩn đoán và phê duyệt. Loại nguồn: giả định lập kế hoạch; Đông Sơn 27/08/2026; địa bàn B-FARM/vùng đề xuất chưa chốt; thuế và cước chưa xác nhận nếu không ghi riêng</v>
      </c>
    </row>
    <row r="24" ht="28.799999237060547" hidden="0" customHeight="1">
      <c r="A24" s="102" t="str">
        <v>CP20</v>
      </c>
      <c r="B24" s="102" t="str">
        <v>An toàn</v>
      </c>
      <c r="C24" s="102" t="str">
        <v>Phương tiện bảo hộ tiêu hao</v>
      </c>
      <c r="D24" s="117" t="n">
        <v>1</v>
      </c>
      <c r="E24" s="114" t="str">
        <v>gói/vụ</v>
      </c>
      <c r="F24" s="115" t="n">
        <v>1000000</v>
      </c>
      <c r="G24" s="101" t="n">
        <f>D24*F24</f>
        <v>1000000</v>
      </c>
      <c r="H24" s="102" t="str">
        <v>Giả định lập kế hoạch</v>
      </c>
      <c r="I24" s="102" t="str">
        <v>Theo nhãn và lịch thay. Loại nguồn: giả định lập kế hoạch; Đông Sơn 27/08/2026; địa bàn B-FARM/vùng đề xuất chưa chốt; thuế và cước chưa xác nhận nếu không ghi riêng</v>
      </c>
    </row>
    <row r="25" ht="28.799999237060547" hidden="0" customHeight="1">
      <c r="A25" s="102" t="str">
        <v>CP21</v>
      </c>
      <c r="B25" s="102" t="str">
        <v>Chăm sóc</v>
      </c>
      <c r="C25" s="102" t="str">
        <v>Làm cỏ, tỉa và vệ sinh</v>
      </c>
      <c r="D25" s="117" t="n">
        <v>100</v>
      </c>
      <c r="E25" s="114" t="str">
        <v>công</v>
      </c>
      <c r="F25" s="115" t="n">
        <v>300000</v>
      </c>
      <c r="G25" s="101" t="n">
        <f>D25*F25</f>
        <v>30000000</v>
      </c>
      <c r="H25" s="102" t="str">
        <v>Giả định lập kế hoạch</v>
      </c>
      <c r="I25" s="102" t="str">
        <v>Bao gồm giá thay thế lao động gia đình. Loại nguồn: giả định lập kế hoạch; Đông Sơn 27/08/2026; địa bàn B-FARM/vùng đề xuất chưa chốt; thuế và cước chưa xác nhận nếu không ghi riêng</v>
      </c>
    </row>
    <row r="26" ht="28.799999237060547" hidden="0" customHeight="1">
      <c r="A26" s="102" t="str">
        <v>CP22</v>
      </c>
      <c r="B26" s="102" t="str">
        <v>Quản lý</v>
      </c>
      <c r="C26" s="102" t="str">
        <v>Kỹ thuật, giám sát và ghi chép</v>
      </c>
      <c r="D26" s="117" t="n">
        <v>25</v>
      </c>
      <c r="E26" s="114" t="str">
        <v>ngày</v>
      </c>
      <c r="F26" s="115" t="n">
        <v>500000</v>
      </c>
      <c r="G26" s="101" t="n">
        <f>D26*F26</f>
        <v>12500000</v>
      </c>
      <c r="H26" s="102" t="str">
        <v>Giả định lập kế hoạch</v>
      </c>
      <c r="I26" s="102" t="str">
        <v>Theo ngày thực tế. Loại nguồn: giả định lập kế hoạch; Đông Sơn 27/08/2026; địa bàn B-FARM/vùng đề xuất chưa chốt; thuế và cước chưa xác nhận nếu không ghi riêng</v>
      </c>
    </row>
    <row r="27" ht="28.799999237060547" hidden="0" customHeight="1">
      <c r="A27" s="102" t="str">
        <v>CP23</v>
      </c>
      <c r="B27" s="102" t="str">
        <v>Vận hành</v>
      </c>
      <c r="C27" s="102" t="str">
        <v>Điện, nước và bảo trì</v>
      </c>
      <c r="D27" s="117" t="n">
        <v>1</v>
      </c>
      <c r="E27" s="114" t="str">
        <v>vụ</v>
      </c>
      <c r="F27" s="115" t="n">
        <v>3000000</v>
      </c>
      <c r="G27" s="101" t="n">
        <f>D27*F27</f>
        <v>3000000</v>
      </c>
      <c r="H27" s="102" t="str">
        <v>Giả định lập kế hoạch</v>
      </c>
      <c r="I27" s="102" t="str">
        <v>Theo đồng hồ/hóa đơn. Loại nguồn: giả định lập kế hoạch; Đông Sơn 27/08/2026; địa bàn B-FARM/vùng đề xuất chưa chốt; thuế và cước chưa xác nhận nếu không ghi riêng</v>
      </c>
    </row>
    <row r="28" ht="28.799999237060547" hidden="0" customHeight="1">
      <c r="A28" s="102" t="str">
        <v>CP24</v>
      </c>
      <c r="B28" s="102" t="str">
        <v>Thu hoạch</v>
      </c>
      <c r="C28" s="102" t="str">
        <v>Công hái</v>
      </c>
      <c r="D28" s="117" t="n">
        <f>GIA_DINH!B31</f>
        <v>20000</v>
      </c>
      <c r="E28" s="114" t="str">
        <v>kg tổng thu</v>
      </c>
      <c r="F28" s="115" t="n">
        <f>GIA_DINH!D12</f>
        <v>6000</v>
      </c>
      <c r="G28" s="101" t="n">
        <f>D28*F28</f>
        <v>120000000</v>
      </c>
      <c r="H28" s="102" t="str">
        <v>Giá thị trường/quan sát</v>
      </c>
      <c r="I28" s="102" t="str">
        <v>Theo khối lượng cơ sở. Loại nguồn: quan sát báo chí; Báo Vĩnh Long 03/2026; địa bàn Vĩnh Long; thuế, phí và cước ngoài hạng mục chưa được xác nhận</v>
      </c>
    </row>
    <row r="29" ht="28.799999237060547" hidden="0" customHeight="1">
      <c r="A29" s="102" t="str">
        <v>CP25</v>
      </c>
      <c r="B29" s="102" t="str">
        <v>Sau thu hoạch</v>
      </c>
      <c r="C29" s="102" t="str">
        <v>Phân loại và đóng gói</v>
      </c>
      <c r="D29" s="117" t="n">
        <f>GIA_DINH!B31*GIA_DINH!C31</f>
        <v>18000</v>
      </c>
      <c r="E29" s="114" t="str">
        <v>kg thương phẩm</v>
      </c>
      <c r="F29" s="115" t="n">
        <f>GIA_DINH!D13</f>
        <v>800</v>
      </c>
      <c r="G29" s="101" t="n">
        <f>D29*F29</f>
        <v>14400000</v>
      </c>
      <c r="H29" s="102" t="str">
        <v>Giả định lập kế hoạch</v>
      </c>
      <c r="I29" s="102" t="str">
        <v>Theo thương phẩm cơ sở. Loại nguồn: giả định lập kế hoạch; Đông Sơn 27/08/2026; địa bàn B-FARM/vùng đề xuất chưa chốt; thuế và cước chưa xác nhận nếu không ghi riêng</v>
      </c>
    </row>
    <row r="30" ht="28.799999237060547" hidden="0" customHeight="1">
      <c r="A30" s="102" t="str">
        <v>CP26</v>
      </c>
      <c r="B30" s="102" t="str">
        <v>Sau thu hoạch</v>
      </c>
      <c r="C30" s="102" t="str">
        <v>Lót thùng, nhãn và vệ sinh</v>
      </c>
      <c r="D30" s="117" t="n">
        <f>GIA_DINH!B31*GIA_DINH!C31</f>
        <v>18000</v>
      </c>
      <c r="E30" s="114" t="str">
        <v>kg thương phẩm</v>
      </c>
      <c r="F30" s="115" t="n">
        <f>GIA_DINH!D14</f>
        <v>220</v>
      </c>
      <c r="G30" s="101" t="n">
        <f>D30*F30</f>
        <v>3960000</v>
      </c>
      <c r="H30" s="102" t="str">
        <v>Giả định lập kế hoạch</v>
      </c>
      <c r="I30" s="102" t="str">
        <v>Theo thương phẩm cơ sở. Loại nguồn: giả định lập kế hoạch; Đông Sơn 27/08/2026; địa bàn B-FARM/vùng đề xuất chưa chốt; thuế và cước chưa xác nhận nếu không ghi riêng</v>
      </c>
    </row>
    <row r="31" ht="28.799999237060547" hidden="0" customHeight="1">
      <c r="A31" s="102" t="str">
        <v>CP27</v>
      </c>
      <c r="B31" s="102" t="str">
        <v>Logistics</v>
      </c>
      <c r="C31" s="102" t="str">
        <v>Vận chuyển đầu chặng</v>
      </c>
      <c r="D31" s="117" t="n">
        <f>GIA_DINH!B31*GIA_DINH!C31</f>
        <v>18000</v>
      </c>
      <c r="E31" s="114" t="str">
        <v>kg thương phẩm</v>
      </c>
      <c r="F31" s="115" t="n">
        <f>GIA_DINH!D15</f>
        <v>500</v>
      </c>
      <c r="G31" s="101" t="n">
        <f>D31*F31</f>
        <v>9000000</v>
      </c>
      <c r="H31" s="102" t="str">
        <v>Giá thị trường/quan sát</v>
      </c>
      <c r="I31" s="102" t="str">
        <v>Thay bằng tuyến thực tế. Loại nguồn: quan sát báo chí; Báo Vĩnh Long 03/2026; địa bàn Vĩnh Long; thuế, phí và cước ngoài hạng mục chưa được xác nhận</v>
      </c>
    </row>
    <row r="32" ht="28.799999237060547" hidden="0" customHeight="1">
      <c r="A32" s="102" t="str">
        <v>CP28</v>
      </c>
      <c r="B32" s="102" t="str">
        <v>Sau thu hoạch</v>
      </c>
      <c r="C32" s="102" t="str">
        <v>Phân bổ sọt nhựa</v>
      </c>
      <c r="D32" s="117" t="n">
        <v>1</v>
      </c>
      <c r="E32" s="114" t="str">
        <v>vụ</v>
      </c>
      <c r="F32" s="115" t="n">
        <f>TAI_SAN!C11/TAI_SAN!D11</f>
        <v>2200000</v>
      </c>
      <c r="G32" s="101" t="n">
        <f>D32*F32</f>
        <v>2200000</v>
      </c>
      <c r="H32" s="102" t="str">
        <v>Giả định lập kế hoạch</v>
      </c>
      <c r="I32" s="102" t="str">
        <v>6,60 triệu đồng chia 3 năm; giả định một vụ/năm. Loại nguồn: giả định lập kế hoạch; Đông Sơn 27/08/2026; địa bàn B-FARM/vùng đề xuất chưa chốt; thuế và cước chưa xác nhận nếu không ghi riêng</v>
      </c>
    </row>
    <row r="33" ht="28.799999237060547" hidden="0" customHeight="1">
      <c r="A33" s="102" t="str">
        <v>CP29</v>
      </c>
      <c r="B33" s="102" t="str">
        <v>Sau thu hoạch</v>
      </c>
      <c r="C33" s="102" t="str">
        <v>Xử lý hàng loại</v>
      </c>
      <c r="D33" s="117" t="n">
        <f>GIA_DINH!B31*(1-GIA_DINH!C31)</f>
        <v>1999.9999999999995</v>
      </c>
      <c r="E33" s="114" t="str">
        <v>kg loại</v>
      </c>
      <c r="F33" s="115" t="n">
        <f>GIA_DINH!D16</f>
        <v>100</v>
      </c>
      <c r="G33" s="101" t="n">
        <f>D33*F33</f>
        <v>199999.99999999994</v>
      </c>
      <c r="H33" s="102" t="str">
        <v>Giả định lập kế hoạch</v>
      </c>
      <c r="I33" s="102" t="str">
        <v>Không áp dụng cho hàng nguy cơ. Loại nguồn: giả định lập kế hoạch; Đông Sơn 27/08/2026; địa bàn B-FARM/vùng đề xuất chưa chốt; thuế và cước chưa xác nhận nếu không ghi riêng</v>
      </c>
    </row>
    <row r="34" ht="28.799999237060547" hidden="0" customHeight="1">
      <c r="A34" s="102" t="str">
        <v>CP30</v>
      </c>
      <c r="B34" s="102" t="str">
        <v>Tuân thủ</v>
      </c>
      <c r="C34" s="102" t="str">
        <v>Kiểm nghiệm đa dư lượng</v>
      </c>
      <c r="D34" s="117" t="n">
        <v>2</v>
      </c>
      <c r="E34" s="114" t="str">
        <v>mẫu</v>
      </c>
      <c r="F34" s="115" t="n">
        <v>5000000</v>
      </c>
      <c r="G34" s="101" t="n">
        <f>D34*F34</f>
        <v>10000000</v>
      </c>
      <c r="H34" s="102" t="str">
        <v>Giả định lập kế hoạch</v>
      </c>
      <c r="I34" s="102" t="str">
        <v>Mức tối thiểu; cần báo giá phạm vi. Loại nguồn: giả định lập kế hoạch; Đông Sơn 27/08/2026; địa bàn B-FARM/vùng đề xuất chưa chốt; thuế và cước chưa xác nhận nếu không ghi riêng</v>
      </c>
    </row>
    <row r="35" ht="28.799999237060547" hidden="0" customHeight="1">
      <c r="A35" s="102" t="str">
        <v>CP31</v>
      </c>
      <c r="B35" s="102" t="str">
        <v>Tuân thủ</v>
      </c>
      <c r="C35" s="102" t="str">
        <v>Kiểm nghiệm cadimi và chì trên quả</v>
      </c>
      <c r="D35" s="117" t="n">
        <v>1</v>
      </c>
      <c r="E35" s="114" t="str">
        <v>gói mẫu</v>
      </c>
      <c r="F35" s="115" t="n">
        <v>4000000</v>
      </c>
      <c r="G35" s="101" t="n">
        <f>D35*F35</f>
        <v>4000000</v>
      </c>
      <c r="H35" s="102" t="str">
        <v>Giả định lập kế hoạch</v>
      </c>
      <c r="I35" s="102" t="str">
        <v>Ngân sách giữ chỗ; cần báo giá đúng nền mẫu. Loại nguồn: giả định lập kế hoạch; Đông Sơn 27/08/2026; địa bàn B-FARM/vùng đề xuất chưa chốt; thuế và cước chưa xác nhận nếu không ghi riêng</v>
      </c>
    </row>
    <row r="36" ht="28.799999237060547" hidden="0" customHeight="1">
      <c r="A36" s="102" t="str">
        <v>CP32</v>
      </c>
      <c r="B36" s="102" t="str">
        <v>Tuân thủ</v>
      </c>
      <c r="C36" s="102" t="str">
        <v>Kiểm nghiệm Escherichia coli và Salmonella</v>
      </c>
      <c r="D36" s="117" t="n">
        <v>1</v>
      </c>
      <c r="E36" s="114" t="str">
        <v>kế hoạch mẫu</v>
      </c>
      <c r="F36" s="115" t="n">
        <v>5000000</v>
      </c>
      <c r="G36" s="101" t="n">
        <f>D36*F36</f>
        <v>5000000</v>
      </c>
      <c r="H36" s="102" t="str">
        <v>Giả định lập kế hoạch</v>
      </c>
      <c r="I36" s="102" t="str">
        <v>Ngân sách giữ chỗ; xác nhận số đơn vị mẫu. Loại nguồn: giả định lập kế hoạch; Đông Sơn 27/08/2026; địa bàn B-FARM/vùng đề xuất chưa chốt; thuế và cước chưa xác nhận nếu không ghi riêng</v>
      </c>
    </row>
    <row r="37" ht="28.799999237060547" hidden="0" customHeight="1">
      <c r="A37" s="102" t="str">
        <v>CP33</v>
      </c>
      <c r="B37" s="102" t="str">
        <v>Tuân thủ</v>
      </c>
      <c r="C37" s="102" t="str">
        <v>Kiểm nghiệm nước rửa/tiếp xúc sau thu hoạch</v>
      </c>
      <c r="D37" s="117" t="n">
        <v>1</v>
      </c>
      <c r="E37" s="114" t="str">
        <v>gói mẫu</v>
      </c>
      <c r="F37" s="115" t="n">
        <v>4000000</v>
      </c>
      <c r="G37" s="101" t="n">
        <f>D37*F37</f>
        <v>4000000</v>
      </c>
      <c r="H37" s="102" t="str">
        <v>Giả định lập kế hoạch</v>
      </c>
      <c r="I37" s="102" t="str">
        <v>Áp dụng khi nước tiếp xúc trực tiếp với quả. Loại nguồn: giả định lập kế hoạch; Đông Sơn 27/08/2026; địa bàn B-FARM/vùng đề xuất chưa chốt; thuế và cước chưa xác nhận nếu không ghi riêng</v>
      </c>
    </row>
    <row r="38" ht="28.799999237060547" hidden="0" customHeight="1">
      <c r="A38" s="102" t="str">
        <v>CP34</v>
      </c>
      <c r="B38" s="102" t="str">
        <v>Tuân thủ</v>
      </c>
      <c r="C38" s="102" t="str">
        <v>Chứng nhận hữu cơ</v>
      </c>
      <c r="D38" s="117" t="n">
        <v>1</v>
      </c>
      <c r="E38" s="114" t="str">
        <v>hồ sơ</v>
      </c>
      <c r="F38" s="115" t="n">
        <v>10000000</v>
      </c>
      <c r="G38" s="101" t="n">
        <f>D38*F38</f>
        <v>10000000</v>
      </c>
      <c r="H38" s="102" t="str">
        <v>Giả định lập kế hoạch</v>
      </c>
      <c r="I38" s="102" t="str">
        <v>Tham chiếu; cần báo giá. Loại nguồn: giả định lập kế hoạch; Đông Sơn 27/08/2026; địa bàn B-FARM/vùng đề xuất chưa chốt; thuế và cước chưa xác nhận nếu không ghi riêng</v>
      </c>
    </row>
    <row r="39" ht="28.799999237060547" hidden="0" customHeight="1">
      <c r="A39" s="102" t="str">
        <v>CP35</v>
      </c>
      <c r="B39" s="102" t="str">
        <v>Quản lý</v>
      </c>
      <c r="C39" s="102" t="str">
        <v>Đào tạo, truy xuất và đánh giá nội bộ</v>
      </c>
      <c r="D39" s="117" t="n">
        <v>1</v>
      </c>
      <c r="E39" s="114" t="str">
        <v>gói/vụ</v>
      </c>
      <c r="F39" s="115" t="n">
        <v>6000000</v>
      </c>
      <c r="G39" s="101" t="n">
        <f>D39*F39</f>
        <v>6000000</v>
      </c>
      <c r="H39" s="102" t="str">
        <v>Giả định lập kế hoạch</v>
      </c>
      <c r="I39" s="102" t="str">
        <v>Giả định lập kế hoạch. Loại nguồn: giả định lập kế hoạch; Đông Sơn 27/08/2026; địa bàn B-FARM/vùng đề xuất chưa chốt; thuế và cước chưa xác nhận nếu không ghi riêng</v>
      </c>
    </row>
    <row r="40" ht="15" hidden="0" customHeight="1">
      <c r="A40" s="118" t="str">
        <v>CP36</v>
      </c>
      <c r="B40" s="118" t="str">
        <v>Tổng</v>
      </c>
      <c r="C40" s="118" t="str">
        <v>Cộng trước dự phòng</v>
      </c>
      <c r="D40" s="119" t="n">
        <v>1</v>
      </c>
      <c r="E40" s="118" t="str">
        <v>vụ</v>
      </c>
      <c r="F40" s="120" t="n">
        <v>0</v>
      </c>
      <c r="G40" s="121" t="n">
        <f>SUM(G5:G39)</f>
        <v>419785000</v>
      </c>
      <c r="H40" s="118" t="str">
        <v>Công thức</v>
      </c>
      <c r="I40" s="118" t="str">
        <v>Tổng các dòng CP01–CP35</v>
      </c>
    </row>
    <row r="41" ht="15" hidden="0" customHeight="1">
      <c r="A41" s="118" t="str">
        <v>CP37</v>
      </c>
      <c r="B41" s="118" t="str">
        <v>Dự phòng</v>
      </c>
      <c r="C41" s="118" t="str">
        <v>Dự phòng chi phí</v>
      </c>
      <c r="D41" s="119" t="n">
        <v>1</v>
      </c>
      <c r="E41" s="118" t="str">
        <v>vụ</v>
      </c>
      <c r="F41" s="120" t="n">
        <f>GIA_DINH!D17</f>
        <v>0.05</v>
      </c>
      <c r="G41" s="121" t="n">
        <f>G40*F41</f>
        <v>20989250</v>
      </c>
      <c r="H41" s="118" t="str">
        <v>Giả định lập kế hoạch</v>
      </c>
      <c r="I41" s="118" t="str">
        <v>5% chi phí trước dự phòng</v>
      </c>
    </row>
    <row r="42" ht="15" hidden="0" customHeight="1">
      <c r="A42" s="122" t="str">
        <v>CP38</v>
      </c>
      <c r="B42" s="122" t="str">
        <v>Tổng</v>
      </c>
      <c r="C42" s="122" t="str">
        <v>TỔNG CHI PHÍ VẬN HÀNH</v>
      </c>
      <c r="D42" s="123" t="n">
        <v>1</v>
      </c>
      <c r="E42" s="122" t="str">
        <v>vụ</v>
      </c>
      <c r="F42" s="124" t="n">
        <v>0</v>
      </c>
      <c r="G42" s="125" t="n">
        <f>G40+G41</f>
        <v>440774250</v>
      </c>
      <c r="H42" s="122" t="str">
        <v>Kết quả</v>
      </c>
      <c r="I42" s="122" t="str">
        <v>Mức cơ sở Rev.D</v>
      </c>
    </row>
  </sheetData>
  <sheetProtection password="B07A" sheet="1" objects="1" scenarios="1" formatCells="1" formatColumns="1" formatRows="1" insertColumns="1" insertRows="1" deleteColumns="1" deleteRows="1" selectLockedCells="0" selectUnlockedCells="0"/>
  <mergeCells>
    <mergeCell ref="A1:I1"/>
    <mergeCell ref="A2:I3"/>
  </mergeCells>
  <pageMargins left="0.7" right="0.7" top="0.75" bottom="0.75" header="0.3" footer="0.3"/>
</worksheet>
</file>

<file path=xl/worksheets/sheet5.xml><?xml version="1.0" encoding="utf-8"?>
<worksheet xmlns="http://schemas.openxmlformats.org/spreadsheetml/2006/main">
  <sheetViews>
    <sheetView showGridLines="0" workbookViewId="0"/>
  </sheetViews>
  <sheetFormatPr defaultRowHeight="15"/>
  <cols>
    <col min="1" max="1" width="10" hidden="0" customWidth="1"/>
    <col min="2" max="2" width="39" hidden="0" customWidth="1"/>
    <col min="3" max="3" width="18" hidden="0" customWidth="1"/>
    <col min="4" max="4" width="16" hidden="0" customWidth="1"/>
    <col min="5" max="5" width="19" hidden="0" customWidth="1"/>
    <col min="6" max="6" width="21" hidden="0" customWidth="1"/>
    <col min="7" max="7" width="40" hidden="0" customWidth="1"/>
  </cols>
  <sheetData>
    <row r="1" ht="42" hidden="0" customHeight="1">
      <c r="A1" s="147" t="str">
        <v>TÀI SẢN ĐẦU TƯ VÀ PHÂN BỔ CHO MỘT VỤ</v>
      </c>
      <c r="B1" s="147"/>
      <c r="C1" s="147"/>
      <c r="D1" s="147"/>
      <c r="E1" s="147"/>
      <c r="F1" s="147"/>
      <c r="G1" s="147"/>
    </row>
    <row r="2" ht="42" customHeight="1">
      <c r="A2" s="91" t="str">
        <v>Khay và sọt phân bổ theo số vụ sử dụng; tài sản khác theo vòng đời năm với giả định một vụ/năm. Không cộng lại phần đã nằm trong chi phí vận hành.</v>
      </c>
      <c r="B2" s="91"/>
      <c r="C2" s="91"/>
      <c r="D2" s="91"/>
      <c r="E2" s="91"/>
      <c r="F2" s="91"/>
      <c r="G2" s="91"/>
    </row>
    <row r="3">
      <c r="A3" s="91"/>
      <c r="B3" s="91"/>
      <c r="C3" s="91"/>
      <c r="D3" s="91"/>
      <c r="E3" s="91"/>
      <c r="F3" s="91"/>
      <c r="G3" s="91"/>
    </row>
    <row r="4" ht="15" hidden="0" customHeight="1">
      <c r="A4" s="98" t="str">
        <v>Mã</v>
      </c>
      <c r="B4" s="98" t="str">
        <v>Tài sản</v>
      </c>
      <c r="C4" s="98" t="str">
        <v>Giá mua</v>
      </c>
      <c r="D4" s="98" t="str">
        <v>Số kỳ phân bổ</v>
      </c>
      <c r="E4" s="98" t="str">
        <v>Phân bổ/khấu hao kỳ</v>
      </c>
      <c r="F4" s="98" t="str">
        <v>Phạm vi</v>
      </c>
      <c r="G4" s="98" t="str">
        <v>Cơ sở phân bổ</v>
      </c>
    </row>
    <row r="5" ht="15" hidden="0" customHeight="1">
      <c r="A5" s="102" t="str">
        <v>TS01</v>
      </c>
      <c r="B5" s="102" t="str">
        <v>Bơm, bộ lọc và đường ống chính</v>
      </c>
      <c r="C5" s="115" t="n">
        <v>30000000</v>
      </c>
      <c r="D5" s="114" t="n">
        <v>5</v>
      </c>
      <c r="E5" s="101" t="n">
        <f>C5/D5</f>
        <v>6000000</v>
      </c>
      <c r="F5" s="102" t="str">
        <v>Trang trại hiện hữu</v>
      </c>
      <c r="G5" s="102" t="str">
        <v>5 năm; giả định một vụ/năm, phân bổ lại nếu dùng chung</v>
      </c>
    </row>
    <row r="6" ht="15" hidden="0" customHeight="1">
      <c r="A6" s="102" t="str">
        <v>TS02</v>
      </c>
      <c r="B6" s="102" t="str">
        <v>355 khay ươm 128 lỗ</v>
      </c>
      <c r="C6" s="115" t="n">
        <v>6860000</v>
      </c>
      <c r="D6" s="114" t="n">
        <v>4</v>
      </c>
      <c r="E6" s="101" t="n">
        <f>C6/D6</f>
        <v>1715000</v>
      </c>
      <c r="F6" s="102" t="str">
        <v>Trang trại hiện hữu</v>
      </c>
      <c r="G6" s="102" t="str">
        <v>4 vụ; 1.715.000 đồng/vụ đã nằm trong chi phí vận hành</v>
      </c>
    </row>
    <row r="7" ht="15" hidden="0" customHeight="1">
      <c r="A7" s="102" t="str">
        <v>TS03</v>
      </c>
      <c r="B7" s="102" t="str">
        <v>Bộ bảo hộ ban đầu</v>
      </c>
      <c r="C7" s="115" t="n">
        <v>3300000</v>
      </c>
      <c r="D7" s="114" t="n">
        <v>2</v>
      </c>
      <c r="E7" s="101" t="n">
        <f>C7/D7</f>
        <v>1650000</v>
      </c>
      <c r="F7" s="102" t="str">
        <v>Trang trại hiện hữu</v>
      </c>
      <c r="G7" s="102" t="str">
        <v>2 năm; giả định một vụ/năm, phân bổ lại nếu dùng chung</v>
      </c>
    </row>
    <row r="8" ht="15" hidden="0" customHeight="1">
      <c r="A8" s="102" t="str">
        <v>TS04</v>
      </c>
      <c r="B8" s="102" t="str">
        <v>Hai bình phun điện chuyên dụng</v>
      </c>
      <c r="C8" s="115" t="n">
        <v>1980000</v>
      </c>
      <c r="D8" s="114" t="n">
        <v>3</v>
      </c>
      <c r="E8" s="101" t="n">
        <f>C8/D8</f>
        <v>660000</v>
      </c>
      <c r="F8" s="102" t="str">
        <v>Trang trại hiện hữu</v>
      </c>
      <c r="G8" s="102" t="str">
        <v>3 năm; giả định một vụ/năm, phân bổ lại nếu dùng chung</v>
      </c>
    </row>
    <row r="9" ht="15" hidden="0" customHeight="1">
      <c r="A9" s="102" t="str">
        <v>TS05</v>
      </c>
      <c r="B9" s="102" t="str">
        <v>Thiết bị đo đất, nước, ẩm, mưa và nhiệt độ</v>
      </c>
      <c r="C9" s="115" t="n">
        <v>8000000</v>
      </c>
      <c r="D9" s="114" t="n">
        <v>3</v>
      </c>
      <c r="E9" s="101" t="n">
        <f>C9/D9</f>
        <v>2666666.6666666665</v>
      </c>
      <c r="F9" s="102" t="str">
        <v>Trang trại hiện hữu</v>
      </c>
      <c r="G9" s="102" t="str">
        <v>3 năm; giả định một vụ/năm, phân bổ lại nếu dùng chung</v>
      </c>
    </row>
    <row r="10" ht="15" hidden="0" customHeight="1">
      <c r="A10" s="102" t="str">
        <v>TS06</v>
      </c>
      <c r="B10" s="102" t="str">
        <v>Cân hiện trường và cân đóng gói</v>
      </c>
      <c r="C10" s="115" t="n">
        <v>2500000</v>
      </c>
      <c r="D10" s="114" t="n">
        <v>5</v>
      </c>
      <c r="E10" s="101" t="n">
        <f>C10/D10</f>
        <v>500000</v>
      </c>
      <c r="F10" s="102" t="str">
        <v>Trang trại hiện hữu</v>
      </c>
      <c r="G10" s="102" t="str">
        <v>5 năm; giả định một vụ/năm, phân bổ lại nếu dùng chung</v>
      </c>
    </row>
    <row r="11" ht="15" hidden="0" customHeight="1">
      <c r="A11" s="102" t="str">
        <v>TS07</v>
      </c>
      <c r="B11" s="102" t="str">
        <v>60 sọt nhựa</v>
      </c>
      <c r="C11" s="115" t="n">
        <v>6600000</v>
      </c>
      <c r="D11" s="114" t="n">
        <v>3</v>
      </c>
      <c r="E11" s="101" t="n">
        <f>C11/D11</f>
        <v>2200000</v>
      </c>
      <c r="F11" s="102" t="str">
        <v>Trang trại hiện hữu</v>
      </c>
      <c r="G11" s="102" t="str">
        <v>3 năm; 2.200.000 đồng/vụ đã nằm trong chi phí vận hành</v>
      </c>
    </row>
    <row r="12" ht="15" hidden="0" customHeight="1">
      <c r="A12" s="102" t="str">
        <v>TS08</v>
      </c>
      <c r="B12" s="102" t="str">
        <v>Bộ xử lý tràn đổ và vệ sinh</v>
      </c>
      <c r="C12" s="115" t="n">
        <v>3800000</v>
      </c>
      <c r="D12" s="114" t="n">
        <v>3</v>
      </c>
      <c r="E12" s="101" t="n">
        <f>C12/D12</f>
        <v>1266666.6666666667</v>
      </c>
      <c r="F12" s="102" t="str">
        <v>Trang trại hiện hữu</v>
      </c>
      <c r="G12" s="102" t="str">
        <v>3 năm; giả định một vụ/năm, phân bổ lại nếu dùng chung</v>
      </c>
    </row>
    <row r="13" ht="15" hidden="0" customHeight="1">
      <c r="A13" s="102" t="str">
        <v>TS09</v>
      </c>
      <c r="B13" s="102" t="str">
        <v>Nhà ươm, lưới che và bàn ươm</v>
      </c>
      <c r="C13" s="115" t="n">
        <v>25000000</v>
      </c>
      <c r="D13" s="114" t="n">
        <v>5</v>
      </c>
      <c r="E13" s="101" t="n">
        <f>C13/D13</f>
        <v>5000000</v>
      </c>
      <c r="F13" s="102" t="str">
        <v>Bổ sung đất trống</v>
      </c>
      <c r="G13" s="102" t="str">
        <v>5 năm; chỉ đầu tư sau thẩm định thiết kế</v>
      </c>
    </row>
    <row r="14" ht="15" hidden="0" customHeight="1">
      <c r="A14" s="102" t="str">
        <v>TS10</v>
      </c>
      <c r="B14" s="102" t="str">
        <v>Khu ủ compost có mái che</v>
      </c>
      <c r="C14" s="115" t="n">
        <v>15000000</v>
      </c>
      <c r="D14" s="114" t="n">
        <v>5</v>
      </c>
      <c r="E14" s="101" t="n">
        <f>C14/D14</f>
        <v>3000000</v>
      </c>
      <c r="F14" s="102" t="str">
        <v>Bổ sung đất trống</v>
      </c>
      <c r="G14" s="102" t="str">
        <v>5 năm; chỉ đầu tư sau thẩm định thiết kế</v>
      </c>
    </row>
    <row r="15" ht="15" hidden="0" customHeight="1">
      <c r="A15" s="102" t="str">
        <v>TS11</v>
      </c>
      <c r="B15" s="102" t="str">
        <v>Khu sơ chế, bàn phân loại và vệ sinh</v>
      </c>
      <c r="C15" s="115" t="n">
        <v>20000000</v>
      </c>
      <c r="D15" s="114" t="n">
        <v>5</v>
      </c>
      <c r="E15" s="101" t="n">
        <f>C15/D15</f>
        <v>4000000</v>
      </c>
      <c r="F15" s="102" t="str">
        <v>Bổ sung đất trống</v>
      </c>
      <c r="G15" s="102" t="str">
        <v>5 năm; chỉ đầu tư sau thẩm định thiết kế</v>
      </c>
    </row>
    <row r="16" ht="15" hidden="0" customHeight="1">
      <c r="A16" s="122" t="str">
        <v>TỔNG</v>
      </c>
      <c r="B16" s="122" t="str">
        <v>Tổng trang trại hiện hữu</v>
      </c>
      <c r="C16" s="124" t="n">
        <f>SUMIF(F5:F15,"Trang trại hiện hữu",C5:C15)</f>
        <v>63040000</v>
      </c>
      <c r="D16" s="122" t="str">
        <v>Theo từng tài sản</v>
      </c>
      <c r="E16" s="125" t="n">
        <f>SUMIF(F5:F15,"Trang trại hiện hữu",E5:E15)</f>
        <v>16658333.333333332</v>
      </c>
      <c r="F16" s="122" t="str">
        <v>Trang trại hiện hữu</v>
      </c>
      <c r="G16" s="122" t="str">
        <v>Không gồm 60 triệu bổ sung đất trống</v>
      </c>
    </row>
    <row r="17" ht="15" hidden="0" customHeight="1">
      <c r="A17" s="122" t="str">
        <v>TỔNG</v>
      </c>
      <c r="B17" s="122" t="str">
        <v>Tổng bắt đầu từ đất trống</v>
      </c>
      <c r="C17" s="124" t="n">
        <f>SUM(C5:C15)</f>
        <v>123040000</v>
      </c>
      <c r="D17" s="122" t="str">
        <v>Theo từng tài sản</v>
      </c>
      <c r="E17" s="125" t="n">
        <f>SUM(E5:E15)</f>
        <v>28658333.333333332</v>
      </c>
      <c r="F17" s="122" t="str">
        <v>Toàn bộ</v>
      </c>
      <c r="G17" s="122" t="str">
        <v>Gồm trang trại hiện hữu và bổ sung</v>
      </c>
    </row>
  </sheetData>
  <sheetProtection password="B07A" sheet="1" objects="1" scenarios="1" formatCells="1" formatColumns="1" formatRows="1" insertColumns="1" insertRows="1" deleteColumns="1" deleteRows="1" selectLockedCells="0" selectUnlockedCells="0"/>
  <mergeCells>
    <mergeCell ref="A1:G1"/>
    <mergeCell ref="A2:G3"/>
  </mergeCells>
  <pageMargins left="0.7" right="0.7" top="0.75" bottom="0.75" header="0.3" footer="0.3"/>
</worksheet>
</file>

<file path=xl/worksheets/sheet6.xml><?xml version="1.0" encoding="utf-8"?>
<worksheet xmlns="http://schemas.openxmlformats.org/spreadsheetml/2006/main">
  <sheetViews>
    <sheetView showGridLines="0" workbookViewId="0"/>
  </sheetViews>
  <sheetFormatPr defaultRowHeight="15"/>
  <cols>
    <col min="1" max="1" width="23" hidden="0" customWidth="1"/>
    <col min="2" max="2" width="15" hidden="0" customWidth="1"/>
    <col min="3" max="3" width="16" hidden="0" customWidth="1"/>
    <col min="4" max="4" width="17" hidden="0" customWidth="1"/>
    <col min="5" max="5" width="15" hidden="0" customWidth="1"/>
    <col min="6" max="6" width="15" hidden="0" customWidth="1"/>
    <col min="7" max="7" width="17" hidden="0" customWidth="1"/>
    <col min="8" max="8" width="15" hidden="0" customWidth="1"/>
    <col min="9" max="9" width="18" hidden="0" customWidth="1"/>
    <col min="10" max="10" width="18" hidden="0" customWidth="1"/>
    <col min="11" max="11" width="18" hidden="0" customWidth="1"/>
    <col min="12" max="12" width="19" hidden="0" customWidth="1"/>
    <col min="13" max="13" width="19" hidden="0" customWidth="1"/>
    <col min="14" max="14" width="16" hidden="0" customWidth="1"/>
    <col min="15" max="15" width="23" hidden="0" customWidth="1"/>
    <col min="16" max="16" width="23" hidden="0" customWidth="1"/>
  </cols>
  <sheetData>
    <row r="1" ht="42" hidden="0" customHeight="1">
      <c r="A1" s="147" t="str">
        <v>BA KỊCH BẢN DOANH THU, VẬN HÀNH VÀ KẾ TOÁN MỞ RỘNG</v>
      </c>
      <c r="B1" s="147"/>
      <c r="C1" s="147"/>
      <c r="D1" s="147"/>
      <c r="E1" s="147"/>
      <c r="F1" s="147"/>
      <c r="G1" s="147"/>
      <c r="H1" s="90"/>
      <c r="I1" s="90"/>
      <c r="J1" s="90"/>
      <c r="K1" s="90"/>
      <c r="L1" s="90"/>
      <c r="M1" s="90"/>
      <c r="N1" s="90"/>
      <c r="O1" s="90"/>
      <c r="P1" s="90"/>
    </row>
    <row r="2" ht="42" customHeight="1">
      <c r="A2" s="91" t="str">
        <v>Chi phí kế toán mở rộng chỉ cộng phân bổ tài sản chưa có trong vận hành, quản trị và lãi vay minh họa; chưa gồm đất, thuế và bảo hiểm.</v>
      </c>
      <c r="B2" s="91"/>
      <c r="C2" s="91"/>
      <c r="D2" s="91"/>
      <c r="E2" s="91"/>
      <c r="F2" s="91"/>
      <c r="G2" s="91"/>
      <c r="H2" s="91"/>
      <c r="I2" s="91"/>
      <c r="J2" s="91"/>
      <c r="K2" s="91"/>
      <c r="L2" s="91"/>
      <c r="M2" s="91"/>
      <c r="N2" s="91"/>
      <c r="O2" s="91"/>
      <c r="P2" s="91"/>
    </row>
    <row r="3">
      <c r="A3" s="91"/>
      <c r="B3" s="91"/>
      <c r="C3" s="91"/>
      <c r="D3" s="91"/>
      <c r="E3" s="91"/>
      <c r="F3" s="91"/>
      <c r="G3" s="91"/>
      <c r="H3" s="91"/>
      <c r="I3" s="91"/>
      <c r="J3" s="91"/>
      <c r="K3" s="91"/>
      <c r="L3" s="91"/>
      <c r="M3" s="91"/>
      <c r="N3" s="91"/>
      <c r="O3" s="91"/>
      <c r="P3" s="91"/>
    </row>
    <row r="4" ht="15" hidden="0" customHeight="1">
      <c r="A4" s="98" t="str">
        <v>Kịch bản</v>
      </c>
      <c r="B4" s="98" t="str">
        <v>Tổng thu kg</v>
      </c>
      <c r="C4" s="98" t="str">
        <v>Tỷ lệ thương phẩm</v>
      </c>
      <c r="D4" s="98" t="str">
        <v>Thương phẩm kg</v>
      </c>
      <c r="E4" s="98" t="str">
        <v>Hàng loại kg</v>
      </c>
      <c r="F4" s="98" t="str">
        <v>Giá chính</v>
      </c>
      <c r="G4" s="98" t="str">
        <v>Thu hồi hàng loại</v>
      </c>
      <c r="H4" s="98" t="str">
        <v>Giá hàng loại</v>
      </c>
      <c r="I4" s="98" t="str">
        <v>Doanh thu chính</v>
      </c>
      <c r="J4" s="98" t="str">
        <v>Doanh thu hàng loại</v>
      </c>
      <c r="K4" s="98" t="str">
        <v>Tổng doanh thu</v>
      </c>
      <c r="L4" s="98" t="str">
        <v>Chi phí vận hành</v>
      </c>
      <c r="M4" s="98" t="str">
        <v>Kết quả vận hành</v>
      </c>
      <c r="N4" s="98" t="str">
        <v>Biên vận hành</v>
      </c>
      <c r="O4" s="98" t="str">
        <v>Chi phí kế toán mở rộng</v>
      </c>
      <c r="P4" s="98" t="str">
        <v>Kết quả kế toán mở rộng</v>
      </c>
    </row>
    <row r="5" ht="15" hidden="0" customHeight="1">
      <c r="A5" s="100" t="str">
        <f>GIA_DINH!A30</f>
        <v>Bất lợi</v>
      </c>
      <c r="B5" s="101" t="n">
        <f>GIA_DINH!B30</f>
        <v>15000</v>
      </c>
      <c r="C5" s="126" t="n">
        <f>GIA_DINH!C30</f>
        <v>0.8</v>
      </c>
      <c r="D5" s="101" t="n">
        <f>B5*C5</f>
        <v>12000</v>
      </c>
      <c r="E5" s="101" t="n">
        <f>B5-D5</f>
        <v>3000</v>
      </c>
      <c r="F5" s="101" t="n">
        <f>GIA_DINH!D30</f>
        <v>6000</v>
      </c>
      <c r="G5" s="126" t="n">
        <f>GIA_DINH!E30</f>
        <v>0.2</v>
      </c>
      <c r="H5" s="101" t="n">
        <f>GIA_DINH!F30</f>
        <v>2000</v>
      </c>
      <c r="I5" s="101" t="n">
        <f>D5*F5</f>
        <v>72000000</v>
      </c>
      <c r="J5" s="101" t="n">
        <f>E5*G5*H5</f>
        <v>1200000</v>
      </c>
      <c r="K5" s="101" t="n">
        <f>I5+J5</f>
        <v>73200000</v>
      </c>
      <c r="L5" s="101" t="n">
        <f>((CHI_PHI_VU!G40-SUM(CHI_PHI_VU!G28:G31)-CHI_PHI_VU!G33)+B5*GIA_DINH!D12+D5*(GIA_DINH!D13+GIA_DINH!D14+GIA_DINH!D15)+E5*GIA_DINH!D16)*(1+GIA_DINH!D17)</f>
        <v>399803250</v>
      </c>
      <c r="M5" s="101" t="n">
        <f>K5-L5</f>
        <v>-326603250</v>
      </c>
      <c r="N5" s="126" t="n">
        <f>IF(K5=0,0,M5/K5)</f>
        <v>-4.461793032786885</v>
      </c>
      <c r="O5" s="101" t="n">
        <f>L5-(CHI_PHI_VU!G6+CHI_PHI_VU!G32)*(1+GIA_DINH!D17)+TAI_SAN!E16+GIA_DINH!D25+(GIA_DINH!D22*GIA_DINH!D21*GIA_DINH!D23/12)</f>
        <v>446030833.3333333</v>
      </c>
      <c r="P5" s="101" t="n">
        <f>K5-O5</f>
        <v>-372830833.3333333</v>
      </c>
    </row>
    <row r="6" ht="15" hidden="0" customHeight="1">
      <c r="A6" s="100" t="str">
        <f>GIA_DINH!A31</f>
        <v>Tham chiếu liên kết 14.500</v>
      </c>
      <c r="B6" s="101" t="n">
        <f>GIA_DINH!B31</f>
        <v>20000</v>
      </c>
      <c r="C6" s="126" t="n">
        <f>GIA_DINH!C31</f>
        <v>0.9</v>
      </c>
      <c r="D6" s="101" t="n">
        <f>B6*C6</f>
        <v>18000</v>
      </c>
      <c r="E6" s="101" t="n">
        <f>B6-D6</f>
        <v>2000</v>
      </c>
      <c r="F6" s="101" t="n">
        <f>GIA_DINH!D31</f>
        <v>14500</v>
      </c>
      <c r="G6" s="126" t="n">
        <f>GIA_DINH!E31</f>
        <v>0.5</v>
      </c>
      <c r="H6" s="101" t="n">
        <f>GIA_DINH!F31</f>
        <v>3000</v>
      </c>
      <c r="I6" s="101" t="n">
        <f>D6*F6</f>
        <v>261000000</v>
      </c>
      <c r="J6" s="101" t="n">
        <f>E6*G6*H6</f>
        <v>3000000</v>
      </c>
      <c r="K6" s="101" t="n">
        <f>I6+J6</f>
        <v>264000000</v>
      </c>
      <c r="L6" s="101" t="n">
        <f>((CHI_PHI_VU!G40-SUM(CHI_PHI_VU!G28:G31)-CHI_PHI_VU!G33)+B6*GIA_DINH!D12+D6*(GIA_DINH!D13+GIA_DINH!D14+GIA_DINH!D15)+E6*GIA_DINH!D16)*(1+GIA_DINH!D17)</f>
        <v>440774250</v>
      </c>
      <c r="M6" s="101" t="n">
        <f>K6-L6</f>
        <v>-176774250</v>
      </c>
      <c r="N6" s="126" t="n">
        <f>IF(K6=0,0,M6/K6)</f>
        <v>-0.6695994318181818</v>
      </c>
      <c r="O6" s="101" t="n">
        <f>L6-(CHI_PHI_VU!G6+CHI_PHI_VU!G32)*(1+GIA_DINH!D17)+TAI_SAN!E16+GIA_DINH!D25+(GIA_DINH!D22*GIA_DINH!D21*GIA_DINH!D23/12)</f>
        <v>487001833.3333333</v>
      </c>
      <c r="P6" s="101" t="n">
        <f>K6-O6</f>
        <v>-223001833.3333333</v>
      </c>
    </row>
    <row r="7" ht="15" hidden="0" customHeight="1">
      <c r="A7" s="100" t="str">
        <f>GIA_DINH!A32</f>
        <v>Thuận lợi có điều kiện</v>
      </c>
      <c r="B7" s="101" t="n">
        <f>GIA_DINH!B32</f>
        <v>25000</v>
      </c>
      <c r="C7" s="126" t="n">
        <f>GIA_DINH!C32</f>
        <v>0.92</v>
      </c>
      <c r="D7" s="101" t="n">
        <f>B7*C7</f>
        <v>23000</v>
      </c>
      <c r="E7" s="101" t="n">
        <f>B7-D7</f>
        <v>2000</v>
      </c>
      <c r="F7" s="101" t="n">
        <f>GIA_DINH!D32</f>
        <v>30000</v>
      </c>
      <c r="G7" s="126" t="n">
        <f>GIA_DINH!E32</f>
        <v>0.7</v>
      </c>
      <c r="H7" s="101" t="n">
        <f>GIA_DINH!F32</f>
        <v>5000</v>
      </c>
      <c r="I7" s="101" t="n">
        <f>D7*F7</f>
        <v>690000000</v>
      </c>
      <c r="J7" s="101" t="n">
        <f>E7*G7*H7</f>
        <v>7000000</v>
      </c>
      <c r="K7" s="101" t="n">
        <f>I7+J7</f>
        <v>697000000</v>
      </c>
      <c r="L7" s="101" t="n">
        <f>((CHI_PHI_VU!G40-SUM(CHI_PHI_VU!G28:G31)-CHI_PHI_VU!G33)+B7*GIA_DINH!D12+D7*(GIA_DINH!D13+GIA_DINH!D14+GIA_DINH!D15)+E7*GIA_DINH!D16)*(1+GIA_DINH!D17)</f>
        <v>480254250</v>
      </c>
      <c r="M7" s="101" t="n">
        <f>K7-L7</f>
        <v>216745750</v>
      </c>
      <c r="N7" s="126" t="n">
        <f>IF(K7=0,0,M7/K7)</f>
        <v>0.310969512195122</v>
      </c>
      <c r="O7" s="101" t="n">
        <f>L7-(CHI_PHI_VU!G6+CHI_PHI_VU!G32)*(1+GIA_DINH!D17)+TAI_SAN!E16+GIA_DINH!D25+(GIA_DINH!D22*GIA_DINH!D21*GIA_DINH!D23/12)</f>
        <v>526481833.3333333</v>
      </c>
      <c r="P7" s="101" t="n">
        <f>K7-O7</f>
        <v>170518166.6666667</v>
      </c>
    </row>
    <row r="8" ht="15" hidden="0" customHeight="1">
      <c r="A8" s="113"/>
      <c r="B8" s="113"/>
      <c r="C8" s="113"/>
      <c r="D8" s="113"/>
      <c r="E8" s="113"/>
      <c r="F8" s="113"/>
      <c r="G8" s="113"/>
      <c r="H8" s="113"/>
      <c r="I8" s="113"/>
      <c r="J8" s="113"/>
      <c r="K8" s="113"/>
      <c r="L8" s="113"/>
      <c r="M8" s="113"/>
      <c r="N8" s="113"/>
      <c r="O8" s="113"/>
      <c r="P8" s="113"/>
    </row>
    <row r="9" ht="15" hidden="0" customHeight="1">
      <c r="A9" s="113"/>
      <c r="B9" s="113"/>
      <c r="C9" s="113"/>
      <c r="D9" s="113"/>
      <c r="E9" s="113"/>
      <c r="F9" s="113"/>
      <c r="G9" s="113"/>
      <c r="H9" s="113"/>
      <c r="I9" s="113"/>
      <c r="J9" s="113"/>
      <c r="K9" s="113"/>
      <c r="L9" s="113"/>
      <c r="M9" s="113"/>
      <c r="N9" s="113"/>
      <c r="O9" s="113"/>
      <c r="P9" s="113"/>
    </row>
    <row r="10">
      <c r="A10" s="103" t="str">
        <v>Kịch bản tham chiếu liên kết 14.500 đồng/kg âm ở cả góc nhìn vận hành và kế toán mở rộng. Mốc 14.500 đồng/kg được lấy từ mô hình liên kết công khai tại Sơn La; không phải báo giá hoặc cam kết bao tiêu của Đông Sơn. Chi phí kế toán mở rộng vẫn trước đất, thuế, bảo hiểm và các khoản chưa có chứng từ.</v>
      </c>
      <c r="B10" s="104"/>
      <c r="C10" s="104"/>
      <c r="D10" s="104"/>
      <c r="E10" s="104"/>
      <c r="F10" s="104"/>
      <c r="G10" s="104"/>
      <c r="H10" s="104"/>
      <c r="I10" s="104"/>
      <c r="J10" s="104"/>
      <c r="K10" s="104"/>
      <c r="L10" s="104"/>
      <c r="M10" s="104"/>
      <c r="N10" s="104"/>
      <c r="O10" s="104"/>
      <c r="P10" s="105"/>
    </row>
    <row r="11">
      <c r="A11" s="106"/>
      <c r="B11" s="107"/>
      <c r="C11" s="107"/>
      <c r="D11" s="107"/>
      <c r="E11" s="107"/>
      <c r="F11" s="107"/>
      <c r="G11" s="107"/>
      <c r="H11" s="107"/>
      <c r="I11" s="107"/>
      <c r="J11" s="107"/>
      <c r="K11" s="107"/>
      <c r="L11" s="107"/>
      <c r="M11" s="107"/>
      <c r="N11" s="107"/>
      <c r="O11" s="107"/>
      <c r="P11" s="108"/>
    </row>
    <row r="12">
      <c r="A12" s="109"/>
      <c r="B12" s="110"/>
      <c r="C12" s="110"/>
      <c r="D12" s="110"/>
      <c r="E12" s="110"/>
      <c r="F12" s="110"/>
      <c r="G12" s="110"/>
      <c r="H12" s="110"/>
      <c r="I12" s="110"/>
      <c r="J12" s="110"/>
      <c r="K12" s="110"/>
      <c r="L12" s="110"/>
      <c r="M12" s="110"/>
      <c r="N12" s="110"/>
      <c r="O12" s="110"/>
      <c r="P12" s="111"/>
    </row>
  </sheetData>
  <sheetProtection password="B07A" sheet="1" objects="1" scenarios="1" formatCells="1" formatColumns="1" formatRows="1" insertColumns="1" insertRows="1" deleteColumns="1" deleteRows="1" selectLockedCells="0" selectUnlockedCells="0"/>
  <mergeCells>
    <mergeCell ref="A1:P1"/>
    <mergeCell ref="A2:P3"/>
    <mergeCell ref="A10:P12"/>
  </mergeCells>
  <pageMargins left="0.7" right="0.7" top="0.75" bottom="0.75" header="0.3" footer="0.3"/>
</worksheet>
</file>

<file path=xl/worksheets/sheet7.xml><?xml version="1.0" encoding="utf-8"?>
<worksheet xmlns="http://schemas.openxmlformats.org/spreadsheetml/2006/main">
  <sheetViews>
    <sheetView showGridLines="0" workbookViewId="0"/>
  </sheetViews>
  <sheetFormatPr defaultRowHeight="15"/>
  <cols>
    <col min="1" max="1" width="27" hidden="0" customWidth="1"/>
    <col min="2" max="2" width="18" hidden="0" customWidth="1"/>
    <col min="3" max="3" width="18" hidden="0" customWidth="1"/>
    <col min="4" max="4" width="18" hidden="0" customWidth="1"/>
    <col min="5" max="5" width="19" hidden="0" customWidth="1"/>
    <col min="6" max="6" width="18" hidden="0" customWidth="1"/>
    <col min="7" max="7" width="18" hidden="0" customWidth="1"/>
    <col min="8" max="8" width="35" hidden="0" customWidth="1"/>
  </cols>
  <sheetData>
    <row r="1" ht="42" hidden="0" customHeight="1">
      <c r="A1" s="147" t="str">
        <v>DÒNG TIỀN TRONG VỤ – THAM CHIẾU LIÊN KẾT 14.500</v>
      </c>
      <c r="B1" s="147"/>
      <c r="C1" s="147"/>
      <c r="D1" s="147"/>
      <c r="E1" s="147"/>
      <c r="F1" s="147"/>
      <c r="G1" s="147"/>
      <c r="H1" s="90"/>
    </row>
    <row r="2" ht="42" customHeight="1">
      <c r="A2" s="91" t="str">
        <v>Chi ra loại phân bổ khay/sọt và phần dự phòng tương ứng vì đây là chi phí phi tiền mặt của vụ. Mốc giá không phải báo giá/bao tiêu Đông Sơn; thay bằng lịch hợp đồng và hóa đơn thực tế.</v>
      </c>
      <c r="B2" s="91"/>
      <c r="C2" s="91"/>
      <c r="D2" s="91"/>
      <c r="E2" s="91"/>
      <c r="F2" s="91"/>
      <c r="G2" s="91"/>
      <c r="H2" s="91"/>
    </row>
    <row r="3">
      <c r="A3" s="91"/>
      <c r="B3" s="91"/>
      <c r="C3" s="91"/>
      <c r="D3" s="91"/>
      <c r="E3" s="91"/>
      <c r="F3" s="91"/>
      <c r="G3" s="91"/>
      <c r="H3" s="91"/>
    </row>
    <row r="4" ht="15" hidden="0" customHeight="1">
      <c r="A4" s="98" t="str">
        <v>Giai đoạn</v>
      </c>
      <c r="B4" s="98" t="str">
        <v>Chi ra</v>
      </c>
      <c r="C4" s="98" t="str">
        <v>Tỷ trọng tiền về</v>
      </c>
      <c r="D4" s="98" t="str">
        <v>Tiền về</v>
      </c>
      <c r="E4" s="98" t="str">
        <v>Dòng tiền tháng</v>
      </c>
      <c r="F4" s="98" t="str">
        <v>Lũy kế</v>
      </c>
      <c r="G4" s="98" t="str">
        <v>Nhu cầu vốn</v>
      </c>
      <c r="H4" s="98" t="str">
        <v>Ghi chú</v>
      </c>
    </row>
    <row r="5" ht="15" hidden="0" customHeight="1">
      <c r="A5" s="102" t="str">
        <v>Trước trồng 2 tháng</v>
      </c>
      <c r="B5" s="115" t="n">
        <v>15000000</v>
      </c>
      <c r="C5" s="116" t="n">
        <v>0</v>
      </c>
      <c r="D5" s="101" t="n">
        <f>KICH_BAN!K6*C5</f>
        <v>0</v>
      </c>
      <c r="E5" s="101" t="n">
        <f>D5-B5</f>
        <v>-15000000</v>
      </c>
      <c r="F5" s="101" t="n">
        <f>E5</f>
        <v>-15000000</v>
      </c>
      <c r="G5" s="101" t="n">
        <f>MAX(0,-F5)</f>
        <v>15000000</v>
      </c>
      <c r="H5" s="102" t="str">
        <v>Theo lịch lập kế hoạch</v>
      </c>
    </row>
    <row r="6" ht="15" hidden="0" customHeight="1">
      <c r="A6" s="102" t="str">
        <v>Trước trồng 1 tháng</v>
      </c>
      <c r="B6" s="115" t="n">
        <v>72000000</v>
      </c>
      <c r="C6" s="116" t="n">
        <v>0</v>
      </c>
      <c r="D6" s="101" t="n">
        <f>KICH_BAN!K6*C6</f>
        <v>0</v>
      </c>
      <c r="E6" s="101" t="n">
        <f>D6-B6</f>
        <v>-72000000</v>
      </c>
      <c r="F6" s="101" t="n">
        <f>F5+E6</f>
        <v>-87000000</v>
      </c>
      <c r="G6" s="101" t="n">
        <f>MAX(0,-F6)</f>
        <v>87000000</v>
      </c>
      <c r="H6" s="102" t="str">
        <v>Theo lịch lập kế hoạch</v>
      </c>
    </row>
    <row r="7" ht="15" hidden="0" customHeight="1">
      <c r="A7" s="102" t="str">
        <v>Tháng trồng</v>
      </c>
      <c r="B7" s="115" t="n">
        <v>95000000</v>
      </c>
      <c r="C7" s="116" t="n">
        <v>0</v>
      </c>
      <c r="D7" s="101" t="n">
        <f>KICH_BAN!K6*C7</f>
        <v>0</v>
      </c>
      <c r="E7" s="101" t="n">
        <f>D7-B7</f>
        <v>-95000000</v>
      </c>
      <c r="F7" s="101" t="n">
        <f>F6+E7</f>
        <v>-182000000</v>
      </c>
      <c r="G7" s="101" t="n">
        <f>MAX(0,-F7)</f>
        <v>182000000</v>
      </c>
      <c r="H7" s="102" t="str">
        <v>Theo lịch lập kế hoạch</v>
      </c>
    </row>
    <row r="8" ht="15" hidden="0" customHeight="1">
      <c r="A8" s="102" t="str">
        <v>Tháng 1</v>
      </c>
      <c r="B8" s="115" t="n">
        <v>30000000</v>
      </c>
      <c r="C8" s="116" t="n">
        <v>0</v>
      </c>
      <c r="D8" s="101" t="n">
        <f>KICH_BAN!K6*C8</f>
        <v>0</v>
      </c>
      <c r="E8" s="101" t="n">
        <f>D8-B8</f>
        <v>-30000000</v>
      </c>
      <c r="F8" s="101" t="n">
        <f>F7+E8</f>
        <v>-212000000</v>
      </c>
      <c r="G8" s="101" t="n">
        <f>MAX(0,-F8)</f>
        <v>212000000</v>
      </c>
      <c r="H8" s="102" t="str">
        <v>Theo lịch lập kế hoạch</v>
      </c>
    </row>
    <row r="9" ht="15" hidden="0" customHeight="1">
      <c r="A9" s="102" t="str">
        <v>Tháng 2</v>
      </c>
      <c r="B9" s="115" t="n">
        <v>30000000</v>
      </c>
      <c r="C9" s="116" t="n">
        <v>0</v>
      </c>
      <c r="D9" s="101" t="n">
        <f>KICH_BAN!K6*C9</f>
        <v>0</v>
      </c>
      <c r="E9" s="101" t="n">
        <f>D9-B9</f>
        <v>-30000000</v>
      </c>
      <c r="F9" s="101" t="n">
        <f>F8+E9</f>
        <v>-242000000</v>
      </c>
      <c r="G9" s="101" t="n">
        <f>MAX(0,-F9)</f>
        <v>242000000</v>
      </c>
      <c r="H9" s="102" t="str">
        <v>Theo lịch lập kế hoạch</v>
      </c>
    </row>
    <row r="10" ht="15" hidden="0" customHeight="1">
      <c r="A10" s="102" t="str">
        <v>Tháng 3</v>
      </c>
      <c r="B10" s="115" t="n">
        <v>48000000</v>
      </c>
      <c r="C10" s="116" t="n">
        <v>0</v>
      </c>
      <c r="D10" s="101" t="n">
        <f>KICH_BAN!K6*C10</f>
        <v>0</v>
      </c>
      <c r="E10" s="101" t="n">
        <f>D10-B10</f>
        <v>-48000000</v>
      </c>
      <c r="F10" s="101" t="n">
        <f>F9+E10</f>
        <v>-290000000</v>
      </c>
      <c r="G10" s="101" t="n">
        <f>MAX(0,-F10)</f>
        <v>290000000</v>
      </c>
      <c r="H10" s="102" t="str">
        <v>Theo lịch lập kế hoạch</v>
      </c>
    </row>
    <row r="11" ht="15" hidden="0" customHeight="1">
      <c r="A11" s="102" t="str">
        <v>Tháng 4</v>
      </c>
      <c r="B11" s="115" t="n">
        <v>57736000</v>
      </c>
      <c r="C11" s="116" t="n">
        <v>0.11</v>
      </c>
      <c r="D11" s="101" t="n">
        <f>KICH_BAN!K6*C11</f>
        <v>29040000</v>
      </c>
      <c r="E11" s="101" t="n">
        <f>D11-B11</f>
        <v>-28696000</v>
      </c>
      <c r="F11" s="101" t="n">
        <f>F10+E11</f>
        <v>-318696000</v>
      </c>
      <c r="G11" s="101" t="n">
        <f>MAX(0,-F11)</f>
        <v>318696000</v>
      </c>
      <c r="H11" s="102" t="str">
        <v>Điểm thiếu hụt dự kiến lớn nhất</v>
      </c>
    </row>
    <row r="12" ht="15" hidden="0" customHeight="1">
      <c r="A12" s="102" t="str">
        <v>Tháng 5</v>
      </c>
      <c r="B12" s="115" t="n">
        <v>50000000</v>
      </c>
      <c r="C12" s="116" t="n">
        <v>0.22</v>
      </c>
      <c r="D12" s="101" t="n">
        <f>KICH_BAN!K6*C12</f>
        <v>58080000</v>
      </c>
      <c r="E12" s="101" t="n">
        <f>D12-B12</f>
        <v>8080000</v>
      </c>
      <c r="F12" s="101" t="n">
        <f>F11+E12</f>
        <v>-310616000</v>
      </c>
      <c r="G12" s="101" t="n">
        <f>MAX(0,-F12)</f>
        <v>310616000</v>
      </c>
      <c r="H12" s="102" t="str">
        <v>Theo lịch lập kế hoạch</v>
      </c>
    </row>
    <row r="13" ht="15" hidden="0" customHeight="1">
      <c r="A13" s="102" t="str">
        <v>Tháng 6</v>
      </c>
      <c r="B13" s="115" t="n">
        <v>25000000</v>
      </c>
      <c r="C13" s="116" t="n">
        <v>0.275</v>
      </c>
      <c r="D13" s="101" t="n">
        <f>KICH_BAN!K6*C13</f>
        <v>72600000</v>
      </c>
      <c r="E13" s="101" t="n">
        <f>D13-B13</f>
        <v>47600000</v>
      </c>
      <c r="F13" s="101" t="n">
        <f>F12+E13</f>
        <v>-263016000</v>
      </c>
      <c r="G13" s="101" t="n">
        <f>MAX(0,-F13)</f>
        <v>263016000</v>
      </c>
      <c r="H13" s="102" t="str">
        <v>Theo lịch lập kế hoạch</v>
      </c>
    </row>
    <row r="14" ht="15" hidden="0" customHeight="1">
      <c r="A14" s="102" t="str">
        <v>Tháng 7</v>
      </c>
      <c r="B14" s="115" t="n">
        <v>13927500</v>
      </c>
      <c r="C14" s="116" t="n">
        <v>0.22</v>
      </c>
      <c r="D14" s="101" t="n">
        <f>KICH_BAN!K6*C14</f>
        <v>58080000</v>
      </c>
      <c r="E14" s="101" t="n">
        <f>D14-B14</f>
        <v>44152500</v>
      </c>
      <c r="F14" s="101" t="n">
        <f>F13+E14</f>
        <v>-218863500</v>
      </c>
      <c r="G14" s="101" t="n">
        <f>MAX(0,-F14)</f>
        <v>218863500</v>
      </c>
      <c r="H14" s="102" t="str">
        <v>Theo lịch lập kế hoạch</v>
      </c>
    </row>
    <row r="15" ht="15" hidden="0" customHeight="1">
      <c r="A15" s="102" t="str">
        <v>Tháng 8</v>
      </c>
      <c r="B15" s="115" t="n">
        <v>0</v>
      </c>
      <c r="C15" s="116" t="n">
        <v>0.175</v>
      </c>
      <c r="D15" s="101" t="n">
        <f>KICH_BAN!K6*C15</f>
        <v>46200000</v>
      </c>
      <c r="E15" s="101" t="n">
        <f>D15-B15</f>
        <v>46200000</v>
      </c>
      <c r="F15" s="101" t="n">
        <f>F14+E15</f>
        <v>-172663500</v>
      </c>
      <c r="G15" s="101" t="n">
        <f>MAX(0,-F15)</f>
        <v>172663500</v>
      </c>
      <c r="H15" s="102" t="str">
        <v>Theo lịch lập kế hoạch</v>
      </c>
    </row>
    <row r="16" ht="15" hidden="0" customHeight="1">
      <c r="A16" s="122" t="str">
        <v>TỔNG/KẾT THÚC</v>
      </c>
      <c r="B16" s="124" t="n">
        <f>SUM(B5:B15)</f>
        <v>436663500</v>
      </c>
      <c r="C16" s="127" t="n">
        <f>SUM(C5:C15)</f>
        <v>1</v>
      </c>
      <c r="D16" s="125" t="n">
        <f>SUM(D5:D15)</f>
        <v>264000000</v>
      </c>
      <c r="E16" s="125" t="n">
        <f>SUM(E5:E15)</f>
        <v>-172663500</v>
      </c>
      <c r="F16" s="125" t="n">
        <f>F15</f>
        <v>-172663500</v>
      </c>
      <c r="G16" s="125" t="n">
        <f>MAX(G5:G15)</f>
        <v>318696000</v>
      </c>
      <c r="H16" s="122" t="str">
        <v>Đối chiếu chi phí tiền mặt; không bằng chi phí có phân bổ</v>
      </c>
    </row>
  </sheetData>
  <sheetProtection password="B07A" sheet="1" objects="1" scenarios="1" formatCells="1" formatColumns="1" formatRows="1" insertColumns="1" insertRows="1" deleteColumns="1" deleteRows="1" selectLockedCells="0" selectUnlockedCells="0"/>
  <mergeCells>
    <mergeCell ref="A1:H1"/>
    <mergeCell ref="A2:H3"/>
  </mergeCells>
  <pageMargins left="0.7" right="0.7" top="0.75" bottom="0.75" header="0.3" footer="0.3"/>
</worksheet>
</file>

<file path=xl/worksheets/sheet8.xml><?xml version="1.0" encoding="utf-8"?>
<worksheet xmlns="http://schemas.openxmlformats.org/spreadsheetml/2006/main">
  <sheetViews>
    <sheetView showGridLines="0" workbookViewId="0"/>
  </sheetViews>
  <sheetFormatPr defaultRowHeight="15"/>
  <cols>
    <col min="1" max="1" width="31" hidden="0" customWidth="1"/>
    <col min="2" max="2" width="27" hidden="0" customWidth="1"/>
    <col min="3" max="3" width="19" hidden="0" customWidth="1"/>
    <col min="4" max="4" width="20" hidden="0" customWidth="1"/>
    <col min="5" max="5" width="20" hidden="0" customWidth="1"/>
    <col min="6" max="6" width="18" hidden="0" customWidth="1"/>
    <col min="7" max="7" width="17" hidden="0" customWidth="1"/>
    <col min="8" max="8" width="20" hidden="0" customWidth="1"/>
    <col min="9" max="9" width="22" hidden="0" customWidth="1"/>
    <col min="10" max="10" width="20" hidden="0" customWidth="1"/>
    <col min="11" max="11" width="20" hidden="0" customWidth="1"/>
  </cols>
  <sheetData>
    <row r="1" ht="42" hidden="0" customHeight="1">
      <c r="A1" s="147" t="str">
        <v>NGƯỠNG ĐẦU TƯ VÀ MÔ PHỎNG 5 NĂM</v>
      </c>
      <c r="B1" s="147"/>
      <c r="C1" s="147"/>
      <c r="D1" s="147"/>
      <c r="E1" s="147"/>
      <c r="F1" s="147"/>
      <c r="G1" s="147"/>
      <c r="H1" s="90"/>
      <c r="I1" s="90"/>
      <c r="J1" s="90"/>
      <c r="K1" s="90"/>
    </row>
    <row r="2" ht="42" customHeight="1">
      <c r="A2" s="91" t="str">
        <v>Phân biệt chi phí vận hành với chi phí kế toán mở rộng trước đất, thuế và bảo hiểm. Các chỉ số không phải cam kết lợi nhuận.</v>
      </c>
      <c r="B2" s="91"/>
      <c r="C2" s="91"/>
      <c r="D2" s="91"/>
      <c r="E2" s="91"/>
      <c r="F2" s="91"/>
      <c r="G2" s="91"/>
      <c r="H2" s="91"/>
      <c r="I2" s="91"/>
      <c r="J2" s="91"/>
      <c r="K2" s="91"/>
    </row>
    <row r="3">
      <c r="A3" s="91"/>
      <c r="B3" s="91"/>
      <c r="C3" s="91"/>
      <c r="D3" s="91"/>
      <c r="E3" s="91"/>
      <c r="F3" s="91"/>
      <c r="G3" s="91"/>
      <c r="H3" s="91"/>
      <c r="I3" s="91"/>
      <c r="J3" s="91"/>
      <c r="K3" s="91"/>
    </row>
    <row r="4" ht="15" hidden="0" customHeight="1">
      <c r="A4" s="92" t="str">
        <v>A. Ngưỡng một vụ</v>
      </c>
      <c r="B4" s="92"/>
      <c r="C4" s="92"/>
      <c r="D4" s="92"/>
      <c r="E4" s="92"/>
      <c r="F4" s="92"/>
      <c r="G4" s="113"/>
      <c r="H4" s="113"/>
      <c r="I4" s="113"/>
      <c r="J4" s="113"/>
      <c r="K4" s="113"/>
    </row>
    <row r="5" ht="15" hidden="0" customHeight="1">
      <c r="A5" s="98" t="str">
        <v>Chỉ tiêu</v>
      </c>
      <c r="B5" s="98" t="str">
        <v>Công thức</v>
      </c>
      <c r="C5" s="98" t="str">
        <v>Kết quả</v>
      </c>
      <c r="D5" s="98" t="str">
        <v>Đơn vị</v>
      </c>
      <c r="E5" s="98" t="str">
        <v>Trạng thái</v>
      </c>
      <c r="F5" s="98" t="str">
        <v>Cách đọc</v>
      </c>
      <c r="G5" s="113"/>
      <c r="H5" s="113"/>
      <c r="I5" s="113"/>
      <c r="J5" s="113"/>
      <c r="K5" s="113"/>
    </row>
    <row r="6" ht="19.200000762939453" hidden="0" customHeight="1">
      <c r="A6" s="102" t="str">
        <v>Chi phí vận hành có phân bổ</v>
      </c>
      <c r="B6" s="102" t="str">
        <v>Tổng bảng chi phí vận hành</v>
      </c>
      <c r="C6" s="101" t="n">
        <f>CHI_PHI_VU!G42</f>
        <v>440774250</v>
      </c>
      <c r="D6" s="102" t="str">
        <v>đồng/vụ</v>
      </c>
      <c r="E6" s="102" t="str">
        <v>Cơ sở</v>
      </c>
      <c r="F6" s="102" t="str">
        <v>440.774.250 đồng; gồm phân bổ khay và sọt</v>
      </c>
      <c r="G6" s="113"/>
      <c r="H6" s="113"/>
      <c r="I6" s="113"/>
      <c r="J6" s="113"/>
      <c r="K6" s="113"/>
    </row>
    <row r="7" ht="15" hidden="0" customHeight="1">
      <c r="A7" s="102" t="str">
        <v>Phân bổ khay trong vận hành</v>
      </c>
      <c r="B7" s="102" t="str">
        <v>6,86 triệu đồng / 4 vụ</v>
      </c>
      <c r="C7" s="101" t="n">
        <f>CHI_PHI_VU!G6</f>
        <v>1715000.0000000002</v>
      </c>
      <c r="D7" s="102" t="str">
        <v>đồng/vụ</v>
      </c>
      <c r="E7" s="102" t="str">
        <v>Phi tiền mặt</v>
      </c>
      <c r="F7" s="102" t="str">
        <v>1.715.000 đồng</v>
      </c>
      <c r="G7" s="113"/>
      <c r="H7" s="113"/>
      <c r="I7" s="113"/>
      <c r="J7" s="113"/>
      <c r="K7" s="113"/>
    </row>
    <row r="8" ht="19.200000762939453" hidden="0" customHeight="1">
      <c r="A8" s="102" t="str">
        <v>Phân bổ sọt trong vận hành</v>
      </c>
      <c r="B8" s="102" t="str">
        <v>6,60 triệu đồng / 3 năm</v>
      </c>
      <c r="C8" s="101" t="n">
        <f>CHI_PHI_VU!G32</f>
        <v>2200000</v>
      </c>
      <c r="D8" s="102" t="str">
        <v>đồng/vụ</v>
      </c>
      <c r="E8" s="102" t="str">
        <v>Phi tiền mặt</v>
      </c>
      <c r="F8" s="102" t="str">
        <v>2.200.000 đồng; giả định một vụ/năm</v>
      </c>
      <c r="G8" s="113"/>
      <c r="H8" s="113"/>
      <c r="I8" s="113"/>
      <c r="J8" s="113"/>
      <c r="K8" s="113"/>
    </row>
    <row r="9" ht="15" hidden="0" customHeight="1">
      <c r="A9" s="102" t="str">
        <v>Dự phòng gắn với hai khoản phân bổ</v>
      </c>
      <c r="B9" s="102" t="str">
        <v>(Khay + sọt) × 5%</v>
      </c>
      <c r="C9" s="101" t="n">
        <f>(C7+C8)*GIA_DINH!D17</f>
        <v>195750</v>
      </c>
      <c r="D9" s="102" t="str">
        <v>đồng/vụ</v>
      </c>
      <c r="E9" s="102" t="str">
        <v>Phi tiền mặt</v>
      </c>
      <c r="F9" s="102" t="str">
        <v>195.750 đồng</v>
      </c>
      <c r="G9" s="113"/>
      <c r="H9" s="113"/>
      <c r="I9" s="113"/>
      <c r="J9" s="113"/>
      <c r="K9" s="113"/>
    </row>
    <row r="10" ht="15" hidden="0" customHeight="1">
      <c r="A10" s="102" t="str">
        <v>Chi phí vận hành tiền mặt</v>
      </c>
      <c r="B10" s="102" t="str">
        <v>Có phân bổ − khay − sọt − dự phòng liên quan</v>
      </c>
      <c r="C10" s="101" t="n">
        <f>C6-C7-C8-C9</f>
        <v>436663500</v>
      </c>
      <c r="D10" s="102" t="str">
        <v>đồng/vụ</v>
      </c>
      <c r="E10" s="102" t="str">
        <v>Dòng tiền</v>
      </c>
      <c r="F10" s="102" t="str">
        <v>436.663.500 đồng</v>
      </c>
      <c r="G10" s="113"/>
      <c r="H10" s="113"/>
      <c r="I10" s="113"/>
      <c r="J10" s="113"/>
      <c r="K10" s="113"/>
    </row>
    <row r="11" ht="15" hidden="0" customHeight="1">
      <c r="A11" s="102" t="str">
        <v>Phân bổ/khấu hao đúng một vụ</v>
      </c>
      <c r="B11" s="102" t="str">
        <v>Tổng bảng tài sản</v>
      </c>
      <c r="C11" s="101" t="n">
        <f>TAI_SAN!E16</f>
        <v>16658333.333333332</v>
      </c>
      <c r="D11" s="102" t="str">
        <v>đồng/vụ</v>
      </c>
      <c r="E11" s="102" t="str">
        <v>Kế toán</v>
      </c>
      <c r="F11" s="102" t="str">
        <v>16.658.333 đồng</v>
      </c>
      <c r="G11" s="113"/>
      <c r="H11" s="113"/>
      <c r="I11" s="113"/>
      <c r="J11" s="113"/>
      <c r="K11" s="113"/>
    </row>
    <row r="12" ht="15" hidden="0" customHeight="1">
      <c r="A12" s="102" t="str">
        <v>Chi phí kế toán của vụ trước quản trị</v>
      </c>
      <c r="B12" s="102" t="str">
        <v>Tiền mặt + phân bổ/khấu hao kỳ</v>
      </c>
      <c r="C12" s="101" t="n">
        <f>C10+C11</f>
        <v>453321833.3333333</v>
      </c>
      <c r="D12" s="102" t="str">
        <v>đồng/vụ</v>
      </c>
      <c r="E12" s="102" t="str">
        <v>Kế toán</v>
      </c>
      <c r="F12" s="102" t="str">
        <v>453.321.833 đồng</v>
      </c>
      <c r="G12" s="113"/>
      <c r="H12" s="113"/>
      <c r="I12" s="113"/>
      <c r="J12" s="113"/>
      <c r="K12" s="113"/>
    </row>
    <row r="13" ht="15" hidden="0" customHeight="1">
      <c r="A13" s="102" t="str">
        <v>Quản trị doanh nghiệp phân bổ</v>
      </c>
      <c r="B13" s="102" t="str">
        <v>Giả định 2 triệu đồng/tháng</v>
      </c>
      <c r="C13" s="101" t="n">
        <f>GIA_DINH!D25</f>
        <v>24000000</v>
      </c>
      <c r="D13" s="102" t="str">
        <v>đồng/vụ</v>
      </c>
      <c r="E13" s="102" t="str">
        <v>Cộng thêm</v>
      </c>
      <c r="F13" s="102" t="str">
        <v>24.000.000 đồng</v>
      </c>
      <c r="G13" s="113"/>
      <c r="H13" s="113"/>
      <c r="I13" s="113"/>
      <c r="J13" s="113"/>
      <c r="K13" s="113"/>
    </row>
    <row r="14" ht="15" hidden="0" customHeight="1">
      <c r="A14" s="102" t="str">
        <v>Chi phí sau quản trị, trước lãi</v>
      </c>
      <c r="B14" s="102" t="str">
        <v>Kế toán vụ + quản trị</v>
      </c>
      <c r="C14" s="101" t="n">
        <f>C12+C13</f>
        <v>477321833.3333333</v>
      </c>
      <c r="D14" s="102" t="str">
        <v>đồng/vụ</v>
      </c>
      <c r="E14" s="102" t="str">
        <v>Cổng</v>
      </c>
      <c r="F14" s="102" t="str">
        <v>477.321.833 đồng</v>
      </c>
      <c r="G14" s="113"/>
      <c r="H14" s="113"/>
      <c r="I14" s="113"/>
      <c r="J14" s="113"/>
      <c r="K14" s="113"/>
    </row>
    <row r="15" ht="28.799999237060547" hidden="0" customHeight="1">
      <c r="A15" s="102" t="str">
        <v>Lãi vay minh họa</v>
      </c>
      <c r="B15" s="102" t="str">
        <v>Dư nợ × lãi × tháng/12</v>
      </c>
      <c r="C15" s="101" t="n">
        <f>GIA_DINH!D22*GIA_DINH!D21*GIA_DINH!D23/12</f>
        <v>9680000</v>
      </c>
      <c r="D15" s="102" t="str">
        <v>đồng/vụ</v>
      </c>
      <c r="E15" s="102" t="str">
        <v>Có điều kiện</v>
      </c>
      <c r="F15" s="102" t="str">
        <v>9.680.000 đồng; không đưa vào mô hình dòng tiền chiết khấu (DCF) dự án</v>
      </c>
      <c r="G15" s="113"/>
      <c r="H15" s="113"/>
      <c r="I15" s="113"/>
      <c r="J15" s="113"/>
      <c r="K15" s="113"/>
    </row>
    <row r="16" ht="19.200000762939453" hidden="0" customHeight="1">
      <c r="A16" s="102" t="str">
        <v>Chi phí kế toán sau lãi minh họa</v>
      </c>
      <c r="B16" s="102" t="str">
        <v>Sau quản trị + lãi</v>
      </c>
      <c r="C16" s="101" t="n">
        <f>C14+C15</f>
        <v>487001833.3333333</v>
      </c>
      <c r="D16" s="102" t="str">
        <v>đồng/vụ</v>
      </c>
      <c r="E16" s="102" t="str">
        <v>Cơ sở mở rộng</v>
      </c>
      <c r="F16" s="102" t="str">
        <v>487.001.833 đồng; trước đất, thuế, bảo hiểm</v>
      </c>
      <c r="G16" s="113"/>
      <c r="H16" s="113"/>
      <c r="I16" s="113"/>
      <c r="J16" s="113"/>
      <c r="K16" s="113"/>
    </row>
    <row r="17" ht="15" hidden="0" customHeight="1">
      <c r="A17" s="102" t="str">
        <v>Đất, thuế, bảo hiểm và cước chưa gộp</v>
      </c>
      <c r="B17" s="102" t="str">
        <v>Đất + X01 + X02 + X03</v>
      </c>
      <c r="C17" s="101" t="n">
        <f>GIA_DINH!D24+SUM(GIA_DINH!D58:D60)</f>
        <v>0</v>
      </c>
      <c r="D17" s="102" t="str">
        <v>đồng/vụ</v>
      </c>
      <c r="E17" s="102" t="str">
        <v>Chưa gộp</v>
      </c>
      <c r="F17" s="102" t="str">
        <v>0; phải nhập nếu phát sinh</v>
      </c>
      <c r="G17" s="113"/>
      <c r="H17" s="113"/>
      <c r="I17" s="113"/>
      <c r="J17" s="113"/>
      <c r="K17" s="113"/>
    </row>
    <row r="18" ht="19.200000762939453" hidden="0" customHeight="1">
      <c r="A18" s="102" t="str">
        <v>Tổng quyết định sau khoản bổ sung</v>
      </c>
      <c r="B18" s="102" t="str">
        <v>Sau lãi + khoản chưa gộp</v>
      </c>
      <c r="C18" s="101" t="n">
        <f>C16+C17</f>
        <v>487001833.3333333</v>
      </c>
      <c r="D18" s="102" t="str">
        <v>đồng/vụ</v>
      </c>
      <c r="E18" s="102" t="str">
        <v>Cổng</v>
      </c>
      <c r="F18" s="102" t="str">
        <v>Bằng 487.001.833 đồng khi các khoản bổ sung bằng 0</v>
      </c>
      <c r="G18" s="113"/>
      <c r="H18" s="113"/>
      <c r="I18" s="113"/>
      <c r="J18" s="113"/>
      <c r="K18" s="113"/>
    </row>
    <row r="19" ht="15" hidden="0" customHeight="1">
      <c r="A19" s="102" t="str">
        <v>Hòa vốn vận hành có phân bổ</v>
      </c>
      <c r="B19" s="102" t="str">
        <v>Làm tròn lên</v>
      </c>
      <c r="C19" s="101" t="n">
        <f>ROUNDUP((C6-KICH_BAN!J6)/KICH_BAN!D6,0)</f>
        <v>24321</v>
      </c>
      <c r="D19" s="102" t="str">
        <v>đồng/kg</v>
      </c>
      <c r="E19" s="102" t="str">
        <v>Cổng</v>
      </c>
      <c r="F19" s="102" t="str">
        <v>24.321 đồng/kg</v>
      </c>
      <c r="G19" s="113"/>
      <c r="H19" s="113"/>
      <c r="I19" s="113"/>
      <c r="J19" s="113"/>
      <c r="K19" s="113"/>
    </row>
    <row r="20" ht="15" hidden="0" customHeight="1">
      <c r="A20" s="102" t="str">
        <v>Giá biên 15% trên vận hành</v>
      </c>
      <c r="B20" s="102" t="str">
        <v>Làm tròn lên</v>
      </c>
      <c r="C20" s="101" t="n">
        <f>ROUNDUP((C6/(1-15%)-KICH_BAN!J6)/KICH_BAN!D6,0)</f>
        <v>28643</v>
      </c>
      <c r="D20" s="102" t="str">
        <v>đồng/kg</v>
      </c>
      <c r="E20" s="102" t="str">
        <v>Cổng</v>
      </c>
      <c r="F20" s="102" t="str">
        <v>28.643 đồng/kg</v>
      </c>
      <c r="G20" s="113"/>
      <c r="H20" s="113"/>
      <c r="I20" s="113"/>
      <c r="J20" s="113"/>
      <c r="K20" s="113"/>
    </row>
    <row r="21" ht="15" hidden="0" customHeight="1">
      <c r="A21" s="102" t="str">
        <v>Hòa vốn sau quản trị</v>
      </c>
      <c r="B21" s="102" t="str">
        <v>Làm tròn lên</v>
      </c>
      <c r="C21" s="101" t="n">
        <f>ROUNDUP((C14-KICH_BAN!J6)/KICH_BAN!D6,0)</f>
        <v>26352</v>
      </c>
      <c r="D21" s="102" t="str">
        <v>đồng/kg</v>
      </c>
      <c r="E21" s="102" t="str">
        <v>Cổng</v>
      </c>
      <c r="F21" s="102" t="str">
        <v>26.352 đồng/kg</v>
      </c>
      <c r="G21" s="113"/>
      <c r="H21" s="113"/>
      <c r="I21" s="113"/>
      <c r="J21" s="113"/>
      <c r="K21" s="113"/>
    </row>
    <row r="22" ht="15" hidden="0" customHeight="1">
      <c r="A22" s="102" t="str">
        <v>Giá biên 15% sau quản trị</v>
      </c>
      <c r="B22" s="102" t="str">
        <v>Làm tròn lên</v>
      </c>
      <c r="C22" s="101" t="n">
        <f>ROUNDUP((C14/(1-15%)-KICH_BAN!J6)/KICH_BAN!D6,0)</f>
        <v>31031</v>
      </c>
      <c r="D22" s="102" t="str">
        <v>đồng/kg</v>
      </c>
      <c r="E22" s="102" t="str">
        <v>Cổng</v>
      </c>
      <c r="F22" s="102" t="str">
        <v>31.031 đồng/kg</v>
      </c>
      <c r="G22" s="113"/>
      <c r="H22" s="113"/>
      <c r="I22" s="113"/>
      <c r="J22" s="113"/>
      <c r="K22" s="113"/>
    </row>
    <row r="23" ht="19.200000762939453" hidden="0" customHeight="1">
      <c r="A23" s="102" t="str">
        <v>Hòa vốn sau lãi và khoản bổ sung</v>
      </c>
      <c r="B23" s="102" t="str">
        <v>Làm tròn lên</v>
      </c>
      <c r="C23" s="101" t="n">
        <f>ROUNDUP((C18-KICH_BAN!J6)/KICH_BAN!D6,0)</f>
        <v>26889</v>
      </c>
      <c r="D23" s="102" t="str">
        <v>đồng/kg</v>
      </c>
      <c r="E23" s="102" t="str">
        <v>Cổng</v>
      </c>
      <c r="F23" s="102" t="str">
        <v>26.889 đồng/kg khi khoản bổ sung bằng 0</v>
      </c>
      <c r="G23" s="113"/>
      <c r="H23" s="113"/>
      <c r="I23" s="113"/>
      <c r="J23" s="113"/>
      <c r="K23" s="113"/>
    </row>
    <row r="24" ht="19.200000762939453" hidden="0" customHeight="1">
      <c r="A24" s="102" t="str">
        <v>Giá biên 15% sau lãi</v>
      </c>
      <c r="B24" s="102" t="str">
        <v>Làm tròn lên</v>
      </c>
      <c r="C24" s="101" t="n">
        <f>ROUNDUP((C18/(1-15%)-KICH_BAN!J6)/KICH_BAN!D6,0)</f>
        <v>31664</v>
      </c>
      <c r="D24" s="102" t="str">
        <v>đồng/kg</v>
      </c>
      <c r="E24" s="102" t="str">
        <v>Cổng</v>
      </c>
      <c r="F24" s="102" t="str">
        <v>31.664 đồng/kg khi khoản bổ sung bằng 0</v>
      </c>
      <c r="G24" s="113"/>
      <c r="H24" s="113"/>
      <c r="I24" s="113"/>
      <c r="J24" s="113"/>
      <c r="K24" s="113"/>
    </row>
    <row r="25" ht="19.200000762939453" hidden="0" customHeight="1">
      <c r="A25" s="102" t="str">
        <v>Thanh khoản khởi động – lịch trung tâm</v>
      </c>
      <c r="B25" s="102" t="str">
        <v>Vốn lưu động + tài sản + đệm</v>
      </c>
      <c r="C25" s="101" t="n">
        <f>GIA_DINH!D18+TAI_SAN!C16+GIA_DINH!D19</f>
        <v>416736000</v>
      </c>
      <c r="D25" s="102" t="str">
        <v>đồng</v>
      </c>
      <c r="E25" s="102" t="str">
        <v>Giả định</v>
      </c>
      <c r="F25" s="102" t="str">
        <v>416.736.000 đồng; sửa theo lịch thanh toán</v>
      </c>
      <c r="G25" s="113"/>
      <c r="H25" s="113"/>
      <c r="I25" s="113"/>
      <c r="J25" s="113"/>
      <c r="K25" s="113"/>
    </row>
    <row r="26" ht="15" hidden="0" customHeight="1">
      <c r="A26" s="102" t="str">
        <v>Nguồn bố trí – mức thận trọng</v>
      </c>
      <c r="B26" s="102" t="str">
        <v>Vốn lưu động thận trọng + tài sản + đệm</v>
      </c>
      <c r="C26" s="101" t="n">
        <f>GIA_DINH!D61+TAI_SAN!C16+GIA_DINH!D19</f>
        <v>426075000</v>
      </c>
      <c r="D26" s="102" t="str">
        <v>đồng</v>
      </c>
      <c r="E26" s="102" t="str">
        <v>Cổng</v>
      </c>
      <c r="F26" s="102" t="str">
        <v>426.075.000 đồng trước lãi</v>
      </c>
      <c r="G26" s="113"/>
      <c r="H26" s="113"/>
      <c r="I26" s="113"/>
      <c r="J26" s="113"/>
      <c r="K26" s="113"/>
    </row>
    <row r="27" ht="15" hidden="0" customHeight="1">
      <c r="A27" s="113"/>
      <c r="B27" s="113"/>
      <c r="C27" s="113"/>
      <c r="D27" s="113"/>
      <c r="E27" s="113"/>
      <c r="F27" s="113"/>
      <c r="G27" s="113"/>
      <c r="H27" s="113"/>
      <c r="I27" s="113"/>
      <c r="J27" s="113"/>
      <c r="K27" s="113"/>
    </row>
    <row r="28" ht="15" hidden="0" customHeight="1">
      <c r="A28" s="92" t="str">
        <v>B. Mô phỏng dòng tiền 5 năm động – trước thuế và chi phí cơ hội đất</v>
      </c>
      <c r="B28" s="92"/>
      <c r="C28" s="92"/>
      <c r="D28" s="92"/>
      <c r="E28" s="92"/>
      <c r="F28" s="92"/>
      <c r="G28" s="92"/>
      <c r="H28" s="92"/>
      <c r="I28" s="92"/>
      <c r="J28" s="92"/>
      <c r="K28" s="92"/>
    </row>
    <row r="29" ht="21.600000381469727" hidden="0" customHeight="1">
      <c r="A29" s="98" t="str">
        <v>Năm</v>
      </c>
      <c r="B29" s="98" t="str">
        <v>Thương phẩm kg</v>
      </c>
      <c r="C29" s="98" t="str">
        <v>Giá chính</v>
      </c>
      <c r="D29" s="98" t="str">
        <v>Tổng doanh thu</v>
      </c>
      <c r="E29" s="98" t="str">
        <v>Chi phí vận hành</v>
      </c>
      <c r="F29" s="98" t="str">
        <v>Quản trị</v>
      </c>
      <c r="G29" s="98" t="str">
        <v>Lãi vay ngoài dòng tiền chiết khấu (DCF)</v>
      </c>
      <c r="H29" s="98" t="str">
        <v>Đầu tư/thay thế</v>
      </c>
      <c r="I29" s="98" t="str">
        <v>Thay đổi vốn lưu động</v>
      </c>
      <c r="J29" s="98" t="str">
        <v>Dòng tiền ròng</v>
      </c>
      <c r="K29" s="98" t="str">
        <v>Giá trị hiện tại</v>
      </c>
    </row>
    <row r="30" ht="15" hidden="0" customHeight="1">
      <c r="A30" s="102" t="n">
        <v>0</v>
      </c>
      <c r="B30" s="128" t="n">
        <v>0</v>
      </c>
      <c r="C30" s="128" t="n">
        <v>0</v>
      </c>
      <c r="D30" s="128" t="n">
        <v>0</v>
      </c>
      <c r="E30" s="128" t="n">
        <v>0</v>
      </c>
      <c r="F30" s="128" t="n">
        <v>0</v>
      </c>
      <c r="G30" s="128" t="n">
        <v>0</v>
      </c>
      <c r="H30" s="101" t="n">
        <f>-TAI_SAN!C16</f>
        <v>-63040000</v>
      </c>
      <c r="I30" s="101" t="n">
        <f>-GIA_DINH!D18</f>
        <v>-318696000</v>
      </c>
      <c r="J30" s="101" t="n">
        <f>D30-E30-F30-G30+H30+I30</f>
        <v>-381736000</v>
      </c>
      <c r="K30" s="101" t="n">
        <f>J30</f>
        <v>-381736000</v>
      </c>
    </row>
    <row r="31" ht="15" hidden="0" customHeight="1">
      <c r="A31" s="102" t="n">
        <v>1</v>
      </c>
      <c r="B31" s="101" t="n">
        <f>GIA_DINH!D40*(1+GIA_DINH!D51)^(1-1)</f>
        <v>18000</v>
      </c>
      <c r="C31" s="101" t="n">
        <f>GIA_DINH!D44*(1+GIA_DINH!D50)^(1-1)</f>
        <v>24000</v>
      </c>
      <c r="D31" s="101" t="n">
        <f>B31*C31+GIA_DINH!D41*(1+GIA_DINH!D51)^(1-1)*GIA_DINH!D42*GIA_DINH!D43</f>
        <v>435000000</v>
      </c>
      <c r="E31" s="101" t="n">
        <f>$C$10*(1-GIA_DINH!D45)*(1+GIA_DINH!D52)^(1-1)</f>
        <v>436663500</v>
      </c>
      <c r="F31" s="101" t="n">
        <f>GIA_DINH!D25*GIA_DINH!D55</f>
        <v>24000000</v>
      </c>
      <c r="G31" s="101" t="n">
        <f>0</f>
        <v>0</v>
      </c>
      <c r="H31" s="101" t="n">
        <f>0</f>
        <v>0</v>
      </c>
      <c r="I31" s="101" t="n">
        <f>0</f>
        <v>0</v>
      </c>
      <c r="J31" s="101" t="n">
        <f>D31-E31-F31-G31+H31+I31</f>
        <v>-25663500</v>
      </c>
      <c r="K31" s="101" t="n">
        <f>J31/(1+GIA_DINH!D20)^A31</f>
        <v>-22913839.285714284</v>
      </c>
    </row>
    <row r="32" ht="15" hidden="0" customHeight="1">
      <c r="A32" s="102" t="n">
        <v>2</v>
      </c>
      <c r="B32" s="101" t="n">
        <f>GIA_DINH!D40*(1+GIA_DINH!D51)^(2-1)</f>
        <v>18000</v>
      </c>
      <c r="C32" s="101" t="n">
        <f>GIA_DINH!D44*(1+GIA_DINH!D50)^(2-1)</f>
        <v>24000</v>
      </c>
      <c r="D32" s="101" t="n">
        <f>B32*C32+GIA_DINH!D41*(1+GIA_DINH!D51)^(2-1)*GIA_DINH!D42*GIA_DINH!D43</f>
        <v>435000000</v>
      </c>
      <c r="E32" s="101" t="n">
        <f>$C$10*(1-GIA_DINH!D46)*(1+GIA_DINH!D52)^(2-1)</f>
        <v>427275234.75</v>
      </c>
      <c r="F32" s="101" t="n">
        <f>GIA_DINH!D25*GIA_DINH!D55</f>
        <v>24000000</v>
      </c>
      <c r="G32" s="101" t="n">
        <f>0</f>
        <v>0</v>
      </c>
      <c r="H32" s="101" t="n">
        <f>0</f>
        <v>0</v>
      </c>
      <c r="I32" s="101" t="n">
        <f>0</f>
        <v>0</v>
      </c>
      <c r="J32" s="101" t="n">
        <f>D32-E32-F32-G32+H32+I32</f>
        <v>-16275234.75</v>
      </c>
      <c r="K32" s="101" t="n">
        <f>J32/(1+GIA_DINH!D20)^A32</f>
        <v>-12974517.498405611</v>
      </c>
    </row>
    <row r="33" ht="15" hidden="0" customHeight="1">
      <c r="A33" s="102" t="n">
        <v>3</v>
      </c>
      <c r="B33" s="101" t="n">
        <f>GIA_DINH!D40*(1+GIA_DINH!D51)^(3-1)</f>
        <v>18000</v>
      </c>
      <c r="C33" s="101" t="n">
        <f>GIA_DINH!D44*(1+GIA_DINH!D50)^(3-1)</f>
        <v>24000</v>
      </c>
      <c r="D33" s="101" t="n">
        <f>B33*C33+GIA_DINH!D41*(1+GIA_DINH!D51)^(3-1)*GIA_DINH!D42*GIA_DINH!D43</f>
        <v>435000000</v>
      </c>
      <c r="E33" s="101" t="n">
        <f>$C$10*(1-GIA_DINH!D47)*(1+GIA_DINH!D52)^(3-1)</f>
        <v>416930676.435</v>
      </c>
      <c r="F33" s="101" t="n">
        <f>GIA_DINH!D25*GIA_DINH!D55</f>
        <v>24000000</v>
      </c>
      <c r="G33" s="101" t="n">
        <f>0</f>
        <v>0</v>
      </c>
      <c r="H33" s="101" t="n">
        <f>-GIA_DINH!D53</f>
        <v>-15000000</v>
      </c>
      <c r="I33" s="101" t="n">
        <f>0</f>
        <v>0</v>
      </c>
      <c r="J33" s="101" t="n">
        <f>D33-E33-F33-G33+H33+I33</f>
        <v>-20930676.435000002</v>
      </c>
      <c r="K33" s="101" t="n">
        <f>J33/(1+GIA_DINH!D20)^A33</f>
        <v>-14898042.05980662</v>
      </c>
    </row>
    <row r="34" ht="15" hidden="0" customHeight="1">
      <c r="A34" s="102" t="n">
        <v>4</v>
      </c>
      <c r="B34" s="101" t="n">
        <f>GIA_DINH!D40*(1+GIA_DINH!D51)^(4-1)</f>
        <v>18000</v>
      </c>
      <c r="C34" s="101" t="n">
        <f>GIA_DINH!D44*(1+GIA_DINH!D50)^(4-1)</f>
        <v>24000</v>
      </c>
      <c r="D34" s="101" t="n">
        <f>B34*C34+GIA_DINH!D41*(1+GIA_DINH!D51)^(4-1)*GIA_DINH!D42*GIA_DINH!D43</f>
        <v>435000000</v>
      </c>
      <c r="E34" s="101" t="n">
        <f>$C$10*(1-GIA_DINH!D48)*(1+GIA_DINH!D52)^(4-1)</f>
        <v>417509746.8189375</v>
      </c>
      <c r="F34" s="101" t="n">
        <f>GIA_DINH!D25*GIA_DINH!D55</f>
        <v>24000000</v>
      </c>
      <c r="G34" s="101" t="n">
        <f>0</f>
        <v>0</v>
      </c>
      <c r="H34" s="101" t="n">
        <f>0</f>
        <v>0</v>
      </c>
      <c r="I34" s="101" t="n">
        <f>0</f>
        <v>0</v>
      </c>
      <c r="J34" s="101" t="n">
        <f>D34-E34-F34-G34+H34+I34</f>
        <v>-6509746.81893748</v>
      </c>
      <c r="K34" s="101" t="n">
        <f>J34/(1+GIA_DINH!D20)^A34</f>
        <v>-4137061.7892731093</v>
      </c>
    </row>
    <row r="35" ht="15" hidden="0" customHeight="1">
      <c r="A35" s="102" t="n">
        <v>5</v>
      </c>
      <c r="B35" s="101" t="n">
        <f>GIA_DINH!D40*(1+GIA_DINH!D51)^(5-1)</f>
        <v>18000</v>
      </c>
      <c r="C35" s="101" t="n">
        <f>GIA_DINH!D44*(1+GIA_DINH!D50)^(5-1)</f>
        <v>24000</v>
      </c>
      <c r="D35" s="101" t="n">
        <f>B35*C35+GIA_DINH!D41*(1+GIA_DINH!D51)^(5-1)*GIA_DINH!D42*GIA_DINH!D43</f>
        <v>435000000</v>
      </c>
      <c r="E35" s="101" t="n">
        <f>$C$10*(1-GIA_DINH!D49)*(1+GIA_DINH!D52)^(5-1)</f>
        <v>417748323.8171198</v>
      </c>
      <c r="F35" s="101" t="n">
        <f>GIA_DINH!D25*GIA_DINH!D55</f>
        <v>24000000</v>
      </c>
      <c r="G35" s="101" t="n">
        <f>0</f>
        <v>0</v>
      </c>
      <c r="H35" s="101" t="n">
        <f>0</f>
        <v>0</v>
      </c>
      <c r="I35" s="101" t="n">
        <f>GIA_DINH!D18*GIA_DINH!D54</f>
        <v>318696000</v>
      </c>
      <c r="J35" s="101" t="n">
        <f>D35-E35-F35-G35+H35+I35</f>
        <v>311947676.1828802</v>
      </c>
      <c r="K35" s="101" t="n">
        <f>J35/(1+GIA_DINH!D20)^A35</f>
        <v>177007489.04517546</v>
      </c>
    </row>
    <row r="36" ht="15" hidden="0" customHeight="1">
      <c r="A36" s="113"/>
      <c r="B36" s="113"/>
      <c r="C36" s="113"/>
      <c r="D36" s="113"/>
      <c r="E36" s="113"/>
      <c r="F36" s="113"/>
      <c r="G36" s="113"/>
      <c r="H36" s="113"/>
      <c r="I36" s="113"/>
      <c r="J36" s="113"/>
      <c r="K36" s="113"/>
    </row>
    <row r="37" ht="15" hidden="0" customHeight="1">
      <c r="A37" s="122" t="str">
        <v>Giá trị hiện tại ròng</v>
      </c>
      <c r="B37" s="124" t="n">
        <f>SUM(K30:K35)</f>
        <v>-259651971.58802417</v>
      </c>
      <c r="C37" s="122" t="str">
        <v>Tỷ suất hoàn vốn nội bộ (IRR)</v>
      </c>
      <c r="D37" s="127" t="str">
        <f>IFERROR(IF(IRR(J30:J35)&gt;0,IRR(J30:J35),"Không có IRR dương"),"Không có nghiệm IRR")</f>
        <v>Không có IRR dương</v>
      </c>
      <c r="E37" s="127" t="str">
        <v>Suất chiết khấu</v>
      </c>
      <c r="F37" s="127" t="n">
        <f>GIA_DINH!D20</f>
        <v>0.12</v>
      </c>
      <c r="G37" s="113"/>
      <c r="H37" s="113"/>
      <c r="I37" s="113"/>
      <c r="J37" s="113"/>
      <c r="K37" s="113"/>
    </row>
    <row r="38" ht="15" hidden="0" customHeight="1">
      <c r="A38" s="113"/>
      <c r="B38" s="113"/>
      <c r="C38" s="113"/>
      <c r="D38" s="113"/>
      <c r="E38" s="113"/>
      <c r="F38" s="113"/>
      <c r="G38" s="113"/>
      <c r="H38" s="113"/>
      <c r="I38" s="113"/>
      <c r="J38" s="113"/>
      <c r="K38" s="113"/>
    </row>
    <row r="39" ht="15" hidden="0" customHeight="1">
      <c r="A39" s="113"/>
      <c r="B39" s="113"/>
      <c r="C39" s="113"/>
      <c r="D39" s="113"/>
      <c r="E39" s="113"/>
      <c r="F39" s="113"/>
      <c r="G39" s="113"/>
      <c r="H39" s="113"/>
      <c r="I39" s="113"/>
      <c r="J39" s="113"/>
      <c r="K39" s="113"/>
    </row>
    <row r="40">
      <c r="A40" s="103" t="str">
        <v>Dòng tiền dự án gồm chi phí vận hành tiền mặt, quản trị 24 triệu đồng/năm, tài sản đầu kỳ, vốn lưu động và thay thế thiết bị; không cộng khấu hao phi tiền mặt và không cộng lãi vay để tránh trộn dòng tiền dự án với dòng tiền chủ sở hữu. Lộ trình giảm chi phí: 0% / 5% / 10% / 12,5% / 15%; lạm phát chi phí 3%/năm; giá và sản lượng mặc định không tăng.</v>
      </c>
      <c r="B40" s="104"/>
      <c r="C40" s="104"/>
      <c r="D40" s="104"/>
      <c r="E40" s="104"/>
      <c r="F40" s="104"/>
      <c r="G40" s="104"/>
      <c r="H40" s="104"/>
      <c r="I40" s="104"/>
      <c r="J40" s="104"/>
      <c r="K40" s="105"/>
    </row>
    <row r="41">
      <c r="A41" s="106"/>
      <c r="B41" s="107"/>
      <c r="C41" s="107"/>
      <c r="D41" s="107"/>
      <c r="E41" s="107"/>
      <c r="F41" s="107"/>
      <c r="G41" s="107"/>
      <c r="H41" s="107"/>
      <c r="I41" s="107"/>
      <c r="J41" s="107"/>
      <c r="K41" s="108"/>
    </row>
    <row r="42">
      <c r="A42" s="106"/>
      <c r="B42" s="107"/>
      <c r="C42" s="107"/>
      <c r="D42" s="107"/>
      <c r="E42" s="107"/>
      <c r="F42" s="107"/>
      <c r="G42" s="107"/>
      <c r="H42" s="107"/>
      <c r="I42" s="107"/>
      <c r="J42" s="107"/>
      <c r="K42" s="108"/>
    </row>
    <row r="43">
      <c r="A43" s="109"/>
      <c r="B43" s="110"/>
      <c r="C43" s="110"/>
      <c r="D43" s="110"/>
      <c r="E43" s="110"/>
      <c r="F43" s="110"/>
      <c r="G43" s="110"/>
      <c r="H43" s="110"/>
      <c r="I43" s="110"/>
      <c r="J43" s="110"/>
      <c r="K43" s="111"/>
    </row>
    <row r="44" ht="15" hidden="0" customHeight="1">
      <c r="A44" s="113"/>
      <c r="B44" s="113"/>
      <c r="C44" s="113"/>
      <c r="D44" s="113"/>
      <c r="E44" s="113"/>
      <c r="F44" s="113"/>
      <c r="G44" s="113"/>
      <c r="H44" s="113"/>
      <c r="I44" s="113"/>
      <c r="J44" s="113"/>
      <c r="K44" s="113"/>
    </row>
    <row r="45" ht="15" hidden="0" customHeight="1">
      <c r="A45" s="92" t="str">
        <v>C. Độ nhạy giá năm 1 đối với giá trị hiện tại ròng 5 năm</v>
      </c>
      <c r="B45" s="92"/>
      <c r="C45" s="92"/>
      <c r="D45" s="92"/>
      <c r="E45" s="113"/>
      <c r="F45" s="113"/>
      <c r="G45" s="113"/>
      <c r="H45" s="113"/>
      <c r="I45" s="113"/>
      <c r="J45" s="113"/>
      <c r="K45" s="113"/>
    </row>
    <row r="46" ht="15" hidden="0" customHeight="1">
      <c r="A46" s="98" t="str">
        <v>Giá chính năm 1</v>
      </c>
      <c r="B46" s="98" t="str">
        <v>Giá trị hiện tại ròng</v>
      </c>
      <c r="C46" s="98" t="str">
        <v>Cách đọc</v>
      </c>
      <c r="D46" s="113"/>
      <c r="E46" s="113"/>
      <c r="F46" s="113"/>
      <c r="G46" s="113"/>
      <c r="H46" s="113"/>
      <c r="I46" s="113"/>
      <c r="J46" s="113"/>
      <c r="K46" s="113"/>
    </row>
    <row r="47" ht="15" hidden="0" customHeight="1">
      <c r="A47" s="128" t="n">
        <v>24000</v>
      </c>
      <c r="B47" s="101" t="n">
        <f>$B$37+(A47-GIA_DINH!D44)*(GIA_DINH!D40*(1+GIA_DINH!D51)^(1-1)*(1+GIA_DINH!D50)^(1-1)/(1+GIA_DINH!D20)^1+GIA_DINH!D40*(1+GIA_DINH!D51)^(2-1)*(1+GIA_DINH!D50)^(2-1)/(1+GIA_DINH!D20)^2+GIA_DINH!D40*(1+GIA_DINH!D51)^(3-1)*(1+GIA_DINH!D50)^(3-1)/(1+GIA_DINH!D20)^3+GIA_DINH!D40*(1+GIA_DINH!D51)^(4-1)*(1+GIA_DINH!D50)^(4-1)/(1+GIA_DINH!D20)^4+GIA_DINH!D40*(1+GIA_DINH!D51)^(5-1)*(1+GIA_DINH!D50)^(5-1)/(1+GIA_DINH!D20)^5)</f>
        <v>-259651971.58802417</v>
      </c>
      <c r="C47" s="102" t="str">
        <f>IF(B47&gt;=0,"Giá trị hiện tại ròng không âm","Chưa tạo giá trị tại suất chiết khấu")</f>
        <v>Chưa tạo giá trị tại suất chiết khấu</v>
      </c>
      <c r="D47" s="113"/>
      <c r="E47" s="113"/>
      <c r="F47" s="113"/>
      <c r="G47" s="113"/>
      <c r="H47" s="113"/>
      <c r="I47" s="113"/>
      <c r="J47" s="113"/>
      <c r="K47" s="113"/>
    </row>
    <row r="48" ht="15" hidden="0" customHeight="1">
      <c r="A48" s="128" t="n">
        <v>27000</v>
      </c>
      <c r="B48" s="101" t="n">
        <f>$B$37+(A48-GIA_DINH!D44)*(GIA_DINH!D40*(1+GIA_DINH!D51)^(1-1)*(1+GIA_DINH!D50)^(1-1)/(1+GIA_DINH!D20)^1+GIA_DINH!D40*(1+GIA_DINH!D51)^(2-1)*(1+GIA_DINH!D50)^(2-1)/(1+GIA_DINH!D20)^2+GIA_DINH!D40*(1+GIA_DINH!D51)^(3-1)*(1+GIA_DINH!D50)^(3-1)/(1+GIA_DINH!D20)^3+GIA_DINH!D40*(1+GIA_DINH!D51)^(4-1)*(1+GIA_DINH!D50)^(4-1)/(1+GIA_DINH!D20)^4+GIA_DINH!D40*(1+GIA_DINH!D51)^(5-1)*(1+GIA_DINH!D50)^(5-1)/(1+GIA_DINH!D20)^5)</f>
        <v>-64994056.66139394</v>
      </c>
      <c r="C48" s="102" t="str">
        <f>IF(B48&gt;=0,"Giá trị hiện tại ròng không âm","Chưa tạo giá trị tại suất chiết khấu")</f>
        <v>Chưa tạo giá trị tại suất chiết khấu</v>
      </c>
      <c r="D48" s="113"/>
      <c r="E48" s="113"/>
      <c r="F48" s="113"/>
      <c r="G48" s="113"/>
      <c r="H48" s="113"/>
      <c r="I48" s="113"/>
      <c r="J48" s="113"/>
      <c r="K48" s="113"/>
    </row>
    <row r="49" ht="15" hidden="0" customHeight="1">
      <c r="A49" s="128" t="n">
        <v>30000</v>
      </c>
      <c r="B49" s="101" t="n">
        <f>$B$37+(A49-GIA_DINH!D44)*(GIA_DINH!D40*(1+GIA_DINH!D51)^(1-1)*(1+GIA_DINH!D50)^(1-1)/(1+GIA_DINH!D20)^1+GIA_DINH!D40*(1+GIA_DINH!D51)^(2-1)*(1+GIA_DINH!D50)^(2-1)/(1+GIA_DINH!D20)^2+GIA_DINH!D40*(1+GIA_DINH!D51)^(3-1)*(1+GIA_DINH!D50)^(3-1)/(1+GIA_DINH!D20)^3+GIA_DINH!D40*(1+GIA_DINH!D51)^(4-1)*(1+GIA_DINH!D50)^(4-1)/(1+GIA_DINH!D20)^4+GIA_DINH!D40*(1+GIA_DINH!D51)^(5-1)*(1+GIA_DINH!D50)^(5-1)/(1+GIA_DINH!D20)^5)</f>
        <v>129663858.26523629</v>
      </c>
      <c r="C49" s="102" t="str">
        <f>IF(B49&gt;=0,"Giá trị hiện tại ròng không âm","Chưa tạo giá trị tại suất chiết khấu")</f>
        <v>Giá trị hiện tại ròng không âm</v>
      </c>
      <c r="D49" s="113"/>
      <c r="E49" s="113"/>
      <c r="F49" s="113"/>
      <c r="G49" s="113"/>
      <c r="H49" s="113"/>
      <c r="I49" s="113"/>
      <c r="J49" s="113"/>
      <c r="K49" s="113"/>
    </row>
    <row r="50" ht="19.200000762939453" hidden="0" customHeight="1">
      <c r="A50" s="128" t="str">
        <v>Giá làm giá trị hiện tại ròng bằng 0</v>
      </c>
      <c r="B50" s="101" t="n">
        <f>ROUNDUP(GIA_DINH!D44-B37/(GIA_DINH!D40*(1+GIA_DINH!D51)^(1-1)*(1+GIA_DINH!D50)^(1-1)/(1+GIA_DINH!D20)^1+GIA_DINH!D40*(1+GIA_DINH!D51)^(2-1)*(1+GIA_DINH!D50)^(2-1)/(1+GIA_DINH!D20)^2+GIA_DINH!D40*(1+GIA_DINH!D51)^(3-1)*(1+GIA_DINH!D50)^(3-1)/(1+GIA_DINH!D20)^3+GIA_DINH!D40*(1+GIA_DINH!D51)^(4-1)*(1+GIA_DINH!D50)^(4-1)/(1+GIA_DINH!D20)^4+GIA_DINH!D40*(1+GIA_DINH!D51)^(5-1)*(1+GIA_DINH!D50)^(5-1)/(1+GIA_DINH!D20)^5),0)</f>
        <v>28002</v>
      </c>
      <c r="C50" s="102" t="str">
        <v>Làm tròn lên; chỉ đúng với các giả định đang hiển thị</v>
      </c>
      <c r="D50" s="113"/>
      <c r="E50" s="113"/>
      <c r="F50" s="113"/>
      <c r="G50" s="113"/>
      <c r="H50" s="113"/>
      <c r="I50" s="113"/>
      <c r="J50" s="113"/>
      <c r="K50" s="113"/>
    </row>
  </sheetData>
  <sheetProtection password="B07A" sheet="1" objects="1" scenarios="1" formatCells="1" formatColumns="1" formatRows="1" insertColumns="1" insertRows="1" deleteColumns="1" deleteRows="1" selectLockedCells="0" selectUnlockedCells="0"/>
  <mergeCells>
    <mergeCell ref="A1:K1"/>
    <mergeCell ref="A2:K3"/>
    <mergeCell ref="A4:F4"/>
    <mergeCell ref="A28:K28"/>
    <mergeCell ref="A40:K43"/>
    <mergeCell ref="A45:D45"/>
  </mergeCells>
  <pageMargins left="0.7" right="0.7" top="0.75" bottom="0.75" header="0.3" footer="0.3"/>
</worksheet>
</file>

<file path=xl/worksheets/sheet9.xml><?xml version="1.0" encoding="utf-8"?>
<worksheet xmlns="http://schemas.openxmlformats.org/spreadsheetml/2006/main">
  <sheetViews>
    <sheetView showGridLines="0" workbookViewId="0"/>
  </sheetViews>
  <sheetFormatPr defaultRowHeight="15"/>
  <cols>
    <col min="1" max="1" width="23" hidden="0" customWidth="1"/>
    <col min="2" max="2" width="18" hidden="0" customWidth="1"/>
    <col min="3" max="3" width="18" hidden="0" customWidth="1"/>
    <col min="4" max="4" width="19" hidden="0" customWidth="1"/>
    <col min="5" max="5" width="18" hidden="0" customWidth="1"/>
    <col min="6" max="6" width="34" hidden="0" customWidth="1"/>
    <col min="7" max="7" width="18" hidden="0" customWidth="1"/>
    <col min="8" max="8" width="18" hidden="0" customWidth="1"/>
    <col min="9" max="9" width="18" hidden="0" customWidth="1"/>
  </cols>
  <sheetData>
    <row r="1" ht="42" hidden="0" customHeight="1">
      <c r="A1" s="147" t="str">
        <v>ĐỘ NHẠY GIÁ – SẢN LƯỢNG – CÔNG HÁI</v>
      </c>
      <c r="B1" s="147"/>
      <c r="C1" s="147"/>
      <c r="D1" s="147"/>
      <c r="E1" s="147"/>
      <c r="F1" s="147"/>
      <c r="G1" s="147"/>
      <c r="H1" s="90"/>
      <c r="I1" s="90"/>
    </row>
    <row r="2" ht="42" customHeight="1">
      <c r="A2" s="91" t="str">
        <v>Ma trận không tạo thêm kịch bản cam kết. Mỗi ô là triệu đồng kết quả vận hành trước các khoản ngoài dự án.</v>
      </c>
      <c r="B2" s="91"/>
      <c r="C2" s="91"/>
      <c r="D2" s="91"/>
      <c r="E2" s="91"/>
      <c r="F2" s="91"/>
      <c r="G2" s="91"/>
      <c r="H2" s="91"/>
      <c r="I2" s="91"/>
    </row>
    <row r="3">
      <c r="A3" s="91"/>
      <c r="B3" s="91"/>
      <c r="C3" s="91"/>
      <c r="D3" s="91"/>
      <c r="E3" s="91"/>
      <c r="F3" s="91"/>
      <c r="G3" s="91"/>
      <c r="H3" s="91"/>
      <c r="I3" s="91"/>
    </row>
    <row r="4" ht="15" hidden="0" customHeight="1">
      <c r="A4" s="92" t="str">
        <v>A. Giá và tổng sản lượng, tỷ lệ thương phẩm 90%</v>
      </c>
      <c r="B4" s="92"/>
      <c r="C4" s="92"/>
      <c r="D4" s="92"/>
      <c r="E4" s="92"/>
      <c r="F4" s="92"/>
      <c r="G4" s="92"/>
      <c r="H4" s="92"/>
      <c r="I4" s="92"/>
    </row>
    <row r="5" ht="15" hidden="0" customHeight="1">
      <c r="A5" s="98" t="str">
        <v>Tổng thu kg / Giá</v>
      </c>
      <c r="B5" s="98" t="n">
        <v>6000</v>
      </c>
      <c r="C5" s="98" t="n">
        <v>14500</v>
      </c>
      <c r="D5" s="98" t="n">
        <v>22000</v>
      </c>
      <c r="E5" s="98" t="n">
        <v>24000</v>
      </c>
      <c r="F5" s="98" t="n">
        <v>28000</v>
      </c>
      <c r="G5" s="98" t="n">
        <v>30000</v>
      </c>
      <c r="H5" s="98" t="n">
        <v>35000</v>
      </c>
      <c r="I5" s="98" t="n">
        <v>40000</v>
      </c>
    </row>
    <row r="6" ht="15" hidden="0" customHeight="1">
      <c r="A6" s="129" t="n">
        <v>12000</v>
      </c>
      <c r="B6" s="130" t="n">
        <f>(A6*90%*6000+A6*10%*50%*3000-((CHI_PHI_VU!G40-SUM(CHI_PHI_VU!G28:G31)-CHI_PHI_VU!G33)+A6*GIA_DINH!D12+A6*90%*(GIA_DINH!D13+GIA_DINH!D14+GIA_DINH!D15)+A6*10%*GIA_DINH!D16)*(1+GIA_DINH!D17))/1000000</f>
        <v>-312.19905</v>
      </c>
      <c r="C6" s="130" t="n">
        <f>(A6*90%*14500+A6*10%*50%*3000-((CHI_PHI_VU!G40-SUM(CHI_PHI_VU!G28:G31)-CHI_PHI_VU!G33)+A6*GIA_DINH!D12+A6*90%*(GIA_DINH!D13+GIA_DINH!D14+GIA_DINH!D15)+A6*10%*GIA_DINH!D16)*(1+GIA_DINH!D17))/1000000</f>
        <v>-220.39905</v>
      </c>
      <c r="D6" s="130" t="n">
        <f>(A6*90%*22000+A6*10%*50%*3000-((CHI_PHI_VU!G40-SUM(CHI_PHI_VU!G28:G31)-CHI_PHI_VU!G33)+A6*GIA_DINH!D12+A6*90%*(GIA_DINH!D13+GIA_DINH!D14+GIA_DINH!D15)+A6*10%*GIA_DINH!D16)*(1+GIA_DINH!D17))/1000000</f>
        <v>-139.39905</v>
      </c>
      <c r="E6" s="130" t="n">
        <f>(A6*90%*24000+A6*10%*50%*3000-((CHI_PHI_VU!G40-SUM(CHI_PHI_VU!G28:G31)-CHI_PHI_VU!G33)+A6*GIA_DINH!D12+A6*90%*(GIA_DINH!D13+GIA_DINH!D14+GIA_DINH!D15)+A6*10%*GIA_DINH!D16)*(1+GIA_DINH!D17))/1000000</f>
        <v>-117.79905</v>
      </c>
      <c r="F6" s="130" t="n">
        <f>(A6*90%*28000+A6*10%*50%*3000-((CHI_PHI_VU!G40-SUM(CHI_PHI_VU!G28:G31)-CHI_PHI_VU!G33)+A6*GIA_DINH!D12+A6*90%*(GIA_DINH!D13+GIA_DINH!D14+GIA_DINH!D15)+A6*10%*GIA_DINH!D16)*(1+GIA_DINH!D17))/1000000</f>
        <v>-74.59905</v>
      </c>
      <c r="G6" s="130" t="n">
        <f>(A6*90%*30000+A6*10%*50%*3000-((CHI_PHI_VU!G40-SUM(CHI_PHI_VU!G28:G31)-CHI_PHI_VU!G33)+A6*GIA_DINH!D12+A6*90%*(GIA_DINH!D13+GIA_DINH!D14+GIA_DINH!D15)+A6*10%*GIA_DINH!D16)*(1+GIA_DINH!D17))/1000000</f>
        <v>-52.99905</v>
      </c>
      <c r="H6" s="130" t="n">
        <f>(A6*90%*35000+A6*10%*50%*3000-((CHI_PHI_VU!G40-SUM(CHI_PHI_VU!G28:G31)-CHI_PHI_VU!G33)+A6*GIA_DINH!D12+A6*90%*(GIA_DINH!D13+GIA_DINH!D14+GIA_DINH!D15)+A6*10%*GIA_DINH!D16)*(1+GIA_DINH!D17))/1000000</f>
        <v>1.00095</v>
      </c>
      <c r="I6" s="130" t="n">
        <f>(A6*90%*40000+A6*10%*50%*3000-((CHI_PHI_VU!G40-SUM(CHI_PHI_VU!G28:G31)-CHI_PHI_VU!G33)+A6*GIA_DINH!D12+A6*90%*(GIA_DINH!D13+GIA_DINH!D14+GIA_DINH!D15)+A6*10%*GIA_DINH!D16)*(1+GIA_DINH!D17))/1000000</f>
        <v>55.00095</v>
      </c>
    </row>
    <row r="7" ht="15" hidden="0" customHeight="1">
      <c r="A7" s="129" t="n">
        <v>15000</v>
      </c>
      <c r="B7" s="130" t="n">
        <f>(A7*90%*6000+A7*10%*50%*3000-((CHI_PHI_VU!G40-SUM(CHI_PHI_VU!G28:G31)-CHI_PHI_VU!G33)+A7*GIA_DINH!D12+A7*90%*(GIA_DINH!D13+GIA_DINH!D14+GIA_DINH!D15)+A7*10%*GIA_DINH!D16)*(1+GIA_DINH!D17))/1000000</f>
        <v>-318.78975</v>
      </c>
      <c r="C7" s="130" t="n">
        <f>(A7*90%*14500+A7*10%*50%*3000-((CHI_PHI_VU!G40-SUM(CHI_PHI_VU!G28:G31)-CHI_PHI_VU!G33)+A7*GIA_DINH!D12+A7*90%*(GIA_DINH!D13+GIA_DINH!D14+GIA_DINH!D15)+A7*10%*GIA_DINH!D16)*(1+GIA_DINH!D17))/1000000</f>
        <v>-204.03975</v>
      </c>
      <c r="D7" s="130" t="n">
        <f>(A7*90%*22000+A7*10%*50%*3000-((CHI_PHI_VU!G40-SUM(CHI_PHI_VU!G28:G31)-CHI_PHI_VU!G33)+A7*GIA_DINH!D12+A7*90%*(GIA_DINH!D13+GIA_DINH!D14+GIA_DINH!D15)+A7*10%*GIA_DINH!D16)*(1+GIA_DINH!D17))/1000000</f>
        <v>-102.78975</v>
      </c>
      <c r="E7" s="130" t="n">
        <f>(A7*90%*24000+A7*10%*50%*3000-((CHI_PHI_VU!G40-SUM(CHI_PHI_VU!G28:G31)-CHI_PHI_VU!G33)+A7*GIA_DINH!D12+A7*90%*(GIA_DINH!D13+GIA_DINH!D14+GIA_DINH!D15)+A7*10%*GIA_DINH!D16)*(1+GIA_DINH!D17))/1000000</f>
        <v>-75.78975</v>
      </c>
      <c r="F7" s="130" t="n">
        <f>(A7*90%*28000+A7*10%*50%*3000-((CHI_PHI_VU!G40-SUM(CHI_PHI_VU!G28:G31)-CHI_PHI_VU!G33)+A7*GIA_DINH!D12+A7*90%*(GIA_DINH!D13+GIA_DINH!D14+GIA_DINH!D15)+A7*10%*GIA_DINH!D16)*(1+GIA_DINH!D17))/1000000</f>
        <v>-21.78975</v>
      </c>
      <c r="G7" s="130" t="n">
        <f>(A7*90%*30000+A7*10%*50%*3000-((CHI_PHI_VU!G40-SUM(CHI_PHI_VU!G28:G31)-CHI_PHI_VU!G33)+A7*GIA_DINH!D12+A7*90%*(GIA_DINH!D13+GIA_DINH!D14+GIA_DINH!D15)+A7*10%*GIA_DINH!D16)*(1+GIA_DINH!D17))/1000000</f>
        <v>5.21025</v>
      </c>
      <c r="H7" s="130" t="n">
        <f>(A7*90%*35000+A7*10%*50%*3000-((CHI_PHI_VU!G40-SUM(CHI_PHI_VU!G28:G31)-CHI_PHI_VU!G33)+A7*GIA_DINH!D12+A7*90%*(GIA_DINH!D13+GIA_DINH!D14+GIA_DINH!D15)+A7*10%*GIA_DINH!D16)*(1+GIA_DINH!D17))/1000000</f>
        <v>72.71025</v>
      </c>
      <c r="I7" s="130" t="n">
        <f>(A7*90%*40000+A7*10%*50%*3000-((CHI_PHI_VU!G40-SUM(CHI_PHI_VU!G28:G31)-CHI_PHI_VU!G33)+A7*GIA_DINH!D12+A7*90%*(GIA_DINH!D13+GIA_DINH!D14+GIA_DINH!D15)+A7*10%*GIA_DINH!D16)*(1+GIA_DINH!D17))/1000000</f>
        <v>140.21025</v>
      </c>
    </row>
    <row r="8" ht="15" hidden="0" customHeight="1">
      <c r="A8" s="129" t="n">
        <v>18000</v>
      </c>
      <c r="B8" s="130" t="n">
        <f>(A8*90%*6000+A8*10%*50%*3000-((CHI_PHI_VU!G40-SUM(CHI_PHI_VU!G28:G31)-CHI_PHI_VU!G33)+A8*GIA_DINH!D12+A8*90%*(GIA_DINH!D13+GIA_DINH!D14+GIA_DINH!D15)+A8*10%*GIA_DINH!D16)*(1+GIA_DINH!D17))/1000000</f>
        <v>-325.38045</v>
      </c>
      <c r="C8" s="130" t="n">
        <f>(A8*90%*14500+A8*10%*50%*3000-((CHI_PHI_VU!G40-SUM(CHI_PHI_VU!G28:G31)-CHI_PHI_VU!G33)+A8*GIA_DINH!D12+A8*90%*(GIA_DINH!D13+GIA_DINH!D14+GIA_DINH!D15)+A8*10%*GIA_DINH!D16)*(1+GIA_DINH!D17))/1000000</f>
        <v>-187.68045</v>
      </c>
      <c r="D8" s="130" t="n">
        <f>(A8*90%*22000+A8*10%*50%*3000-((CHI_PHI_VU!G40-SUM(CHI_PHI_VU!G28:G31)-CHI_PHI_VU!G33)+A8*GIA_DINH!D12+A8*90%*(GIA_DINH!D13+GIA_DINH!D14+GIA_DINH!D15)+A8*10%*GIA_DINH!D16)*(1+GIA_DINH!D17))/1000000</f>
        <v>-66.18045</v>
      </c>
      <c r="E8" s="130" t="n">
        <f>(A8*90%*24000+A8*10%*50%*3000-((CHI_PHI_VU!G40-SUM(CHI_PHI_VU!G28:G31)-CHI_PHI_VU!G33)+A8*GIA_DINH!D12+A8*90%*(GIA_DINH!D13+GIA_DINH!D14+GIA_DINH!D15)+A8*10%*GIA_DINH!D16)*(1+GIA_DINH!D17))/1000000</f>
        <v>-33.78045</v>
      </c>
      <c r="F8" s="130" t="n">
        <f>(A8*90%*28000+A8*10%*50%*3000-((CHI_PHI_VU!G40-SUM(CHI_PHI_VU!G28:G31)-CHI_PHI_VU!G33)+A8*GIA_DINH!D12+A8*90%*(GIA_DINH!D13+GIA_DINH!D14+GIA_DINH!D15)+A8*10%*GIA_DINH!D16)*(1+GIA_DINH!D17))/1000000</f>
        <v>31.01955</v>
      </c>
      <c r="G8" s="130" t="n">
        <f>(A8*90%*30000+A8*10%*50%*3000-((CHI_PHI_VU!G40-SUM(CHI_PHI_VU!G28:G31)-CHI_PHI_VU!G33)+A8*GIA_DINH!D12+A8*90%*(GIA_DINH!D13+GIA_DINH!D14+GIA_DINH!D15)+A8*10%*GIA_DINH!D16)*(1+GIA_DINH!D17))/1000000</f>
        <v>63.41955</v>
      </c>
      <c r="H8" s="130" t="n">
        <f>(A8*90%*35000+A8*10%*50%*3000-((CHI_PHI_VU!G40-SUM(CHI_PHI_VU!G28:G31)-CHI_PHI_VU!G33)+A8*GIA_DINH!D12+A8*90%*(GIA_DINH!D13+GIA_DINH!D14+GIA_DINH!D15)+A8*10%*GIA_DINH!D16)*(1+GIA_DINH!D17))/1000000</f>
        <v>144.41955</v>
      </c>
      <c r="I8" s="130" t="n">
        <f>(A8*90%*40000+A8*10%*50%*3000-((CHI_PHI_VU!G40-SUM(CHI_PHI_VU!G28:G31)-CHI_PHI_VU!G33)+A8*GIA_DINH!D12+A8*90%*(GIA_DINH!D13+GIA_DINH!D14+GIA_DINH!D15)+A8*10%*GIA_DINH!D16)*(1+GIA_DINH!D17))/1000000</f>
        <v>225.41955</v>
      </c>
    </row>
    <row r="9" ht="15" hidden="0" customHeight="1">
      <c r="A9" s="129" t="n">
        <v>20000</v>
      </c>
      <c r="B9" s="130" t="n">
        <f>(A9*90%*6000+A9*10%*50%*3000-((CHI_PHI_VU!G40-SUM(CHI_PHI_VU!G28:G31)-CHI_PHI_VU!G33)+A9*GIA_DINH!D12+A9*90%*(GIA_DINH!D13+GIA_DINH!D14+GIA_DINH!D15)+A9*10%*GIA_DINH!D16)*(1+GIA_DINH!D17))/1000000</f>
        <v>-329.77425</v>
      </c>
      <c r="C9" s="130" t="n">
        <f>(A9*90%*14500+A9*10%*50%*3000-((CHI_PHI_VU!G40-SUM(CHI_PHI_VU!G28:G31)-CHI_PHI_VU!G33)+A9*GIA_DINH!D12+A9*90%*(GIA_DINH!D13+GIA_DINH!D14+GIA_DINH!D15)+A9*10%*GIA_DINH!D16)*(1+GIA_DINH!D17))/1000000</f>
        <v>-176.77425</v>
      </c>
      <c r="D9" s="130" t="n">
        <f>(A9*90%*22000+A9*10%*50%*3000-((CHI_PHI_VU!G40-SUM(CHI_PHI_VU!G28:G31)-CHI_PHI_VU!G33)+A9*GIA_DINH!D12+A9*90%*(GIA_DINH!D13+GIA_DINH!D14+GIA_DINH!D15)+A9*10%*GIA_DINH!D16)*(1+GIA_DINH!D17))/1000000</f>
        <v>-41.77425</v>
      </c>
      <c r="E9" s="130" t="n">
        <f>(A9*90%*24000+A9*10%*50%*3000-((CHI_PHI_VU!G40-SUM(CHI_PHI_VU!G28:G31)-CHI_PHI_VU!G33)+A9*GIA_DINH!D12+A9*90%*(GIA_DINH!D13+GIA_DINH!D14+GIA_DINH!D15)+A9*10%*GIA_DINH!D16)*(1+GIA_DINH!D17))/1000000</f>
        <v>-5.77425</v>
      </c>
      <c r="F9" s="130" t="n">
        <f>(A9*90%*28000+A9*10%*50%*3000-((CHI_PHI_VU!G40-SUM(CHI_PHI_VU!G28:G31)-CHI_PHI_VU!G33)+A9*GIA_DINH!D12+A9*90%*(GIA_DINH!D13+GIA_DINH!D14+GIA_DINH!D15)+A9*10%*GIA_DINH!D16)*(1+GIA_DINH!D17))/1000000</f>
        <v>66.22575</v>
      </c>
      <c r="G9" s="130" t="n">
        <f>(A9*90%*30000+A9*10%*50%*3000-((CHI_PHI_VU!G40-SUM(CHI_PHI_VU!G28:G31)-CHI_PHI_VU!G33)+A9*GIA_DINH!D12+A9*90%*(GIA_DINH!D13+GIA_DINH!D14+GIA_DINH!D15)+A9*10%*GIA_DINH!D16)*(1+GIA_DINH!D17))/1000000</f>
        <v>102.22575</v>
      </c>
      <c r="H9" s="130" t="n">
        <f>(A9*90%*35000+A9*10%*50%*3000-((CHI_PHI_VU!G40-SUM(CHI_PHI_VU!G28:G31)-CHI_PHI_VU!G33)+A9*GIA_DINH!D12+A9*90%*(GIA_DINH!D13+GIA_DINH!D14+GIA_DINH!D15)+A9*10%*GIA_DINH!D16)*(1+GIA_DINH!D17))/1000000</f>
        <v>192.22575</v>
      </c>
      <c r="I9" s="130" t="n">
        <f>(A9*90%*40000+A9*10%*50%*3000-((CHI_PHI_VU!G40-SUM(CHI_PHI_VU!G28:G31)-CHI_PHI_VU!G33)+A9*GIA_DINH!D12+A9*90%*(GIA_DINH!D13+GIA_DINH!D14+GIA_DINH!D15)+A9*10%*GIA_DINH!D16)*(1+GIA_DINH!D17))/1000000</f>
        <v>282.22575</v>
      </c>
    </row>
    <row r="10" ht="15" hidden="0" customHeight="1">
      <c r="A10" s="129" t="n">
        <v>22000</v>
      </c>
      <c r="B10" s="130" t="n">
        <f>(A10*90%*6000+A10*10%*50%*3000-((CHI_PHI_VU!G40-SUM(CHI_PHI_VU!G28:G31)-CHI_PHI_VU!G33)+A10*GIA_DINH!D12+A10*90%*(GIA_DINH!D13+GIA_DINH!D14+GIA_DINH!D15)+A10*10%*GIA_DINH!D16)*(1+GIA_DINH!D17))/1000000</f>
        <v>-334.16805</v>
      </c>
      <c r="C10" s="130" t="n">
        <f>(A10*90%*14500+A10*10%*50%*3000-((CHI_PHI_VU!G40-SUM(CHI_PHI_VU!G28:G31)-CHI_PHI_VU!G33)+A10*GIA_DINH!D12+A10*90%*(GIA_DINH!D13+GIA_DINH!D14+GIA_DINH!D15)+A10*10%*GIA_DINH!D16)*(1+GIA_DINH!D17))/1000000</f>
        <v>-165.86805</v>
      </c>
      <c r="D10" s="130" t="n">
        <f>(A10*90%*22000+A10*10%*50%*3000-((CHI_PHI_VU!G40-SUM(CHI_PHI_VU!G28:G31)-CHI_PHI_VU!G33)+A10*GIA_DINH!D12+A10*90%*(GIA_DINH!D13+GIA_DINH!D14+GIA_DINH!D15)+A10*10%*GIA_DINH!D16)*(1+GIA_DINH!D17))/1000000</f>
        <v>-17.36805</v>
      </c>
      <c r="E10" s="130" t="n">
        <f>(A10*90%*24000+A10*10%*50%*3000-((CHI_PHI_VU!G40-SUM(CHI_PHI_VU!G28:G31)-CHI_PHI_VU!G33)+A10*GIA_DINH!D12+A10*90%*(GIA_DINH!D13+GIA_DINH!D14+GIA_DINH!D15)+A10*10%*GIA_DINH!D16)*(1+GIA_DINH!D17))/1000000</f>
        <v>22.23195</v>
      </c>
      <c r="F10" s="130" t="n">
        <f>(A10*90%*28000+A10*10%*50%*3000-((CHI_PHI_VU!G40-SUM(CHI_PHI_VU!G28:G31)-CHI_PHI_VU!G33)+A10*GIA_DINH!D12+A10*90%*(GIA_DINH!D13+GIA_DINH!D14+GIA_DINH!D15)+A10*10%*GIA_DINH!D16)*(1+GIA_DINH!D17))/1000000</f>
        <v>101.43195</v>
      </c>
      <c r="G10" s="130" t="n">
        <f>(A10*90%*30000+A10*10%*50%*3000-((CHI_PHI_VU!G40-SUM(CHI_PHI_VU!G28:G31)-CHI_PHI_VU!G33)+A10*GIA_DINH!D12+A10*90%*(GIA_DINH!D13+GIA_DINH!D14+GIA_DINH!D15)+A10*10%*GIA_DINH!D16)*(1+GIA_DINH!D17))/1000000</f>
        <v>141.03195</v>
      </c>
      <c r="H10" s="130" t="n">
        <f>(A10*90%*35000+A10*10%*50%*3000-((CHI_PHI_VU!G40-SUM(CHI_PHI_VU!G28:G31)-CHI_PHI_VU!G33)+A10*GIA_DINH!D12+A10*90%*(GIA_DINH!D13+GIA_DINH!D14+GIA_DINH!D15)+A10*10%*GIA_DINH!D16)*(1+GIA_DINH!D17))/1000000</f>
        <v>240.03195</v>
      </c>
      <c r="I10" s="130" t="n">
        <f>(A10*90%*40000+A10*10%*50%*3000-((CHI_PHI_VU!G40-SUM(CHI_PHI_VU!G28:G31)-CHI_PHI_VU!G33)+A10*GIA_DINH!D12+A10*90%*(GIA_DINH!D13+GIA_DINH!D14+GIA_DINH!D15)+A10*10%*GIA_DINH!D16)*(1+GIA_DINH!D17))/1000000</f>
        <v>339.03195</v>
      </c>
    </row>
    <row r="11" ht="15" hidden="0" customHeight="1">
      <c r="A11" s="129" t="n">
        <v>25000</v>
      </c>
      <c r="B11" s="130" t="n">
        <f>(A11*90%*6000+A11*10%*50%*3000-((CHI_PHI_VU!G40-SUM(CHI_PHI_VU!G28:G31)-CHI_PHI_VU!G33)+A11*GIA_DINH!D12+A11*90%*(GIA_DINH!D13+GIA_DINH!D14+GIA_DINH!D15)+A11*10%*GIA_DINH!D16)*(1+GIA_DINH!D17))/1000000</f>
        <v>-340.75875</v>
      </c>
      <c r="C11" s="130" t="n">
        <f>(A11*90%*14500+A11*10%*50%*3000-((CHI_PHI_VU!G40-SUM(CHI_PHI_VU!G28:G31)-CHI_PHI_VU!G33)+A11*GIA_DINH!D12+A11*90%*(GIA_DINH!D13+GIA_DINH!D14+GIA_DINH!D15)+A11*10%*GIA_DINH!D16)*(1+GIA_DINH!D17))/1000000</f>
        <v>-149.50875</v>
      </c>
      <c r="D11" s="130" t="n">
        <f>(A11*90%*22000+A11*10%*50%*3000-((CHI_PHI_VU!G40-SUM(CHI_PHI_VU!G28:G31)-CHI_PHI_VU!G33)+A11*GIA_DINH!D12+A11*90%*(GIA_DINH!D13+GIA_DINH!D14+GIA_DINH!D15)+A11*10%*GIA_DINH!D16)*(1+GIA_DINH!D17))/1000000</f>
        <v>19.24125</v>
      </c>
      <c r="E11" s="130" t="n">
        <f>(A11*90%*24000+A11*10%*50%*3000-((CHI_PHI_VU!G40-SUM(CHI_PHI_VU!G28:G31)-CHI_PHI_VU!G33)+A11*GIA_DINH!D12+A11*90%*(GIA_DINH!D13+GIA_DINH!D14+GIA_DINH!D15)+A11*10%*GIA_DINH!D16)*(1+GIA_DINH!D17))/1000000</f>
        <v>64.24125</v>
      </c>
      <c r="F11" s="130" t="n">
        <f>(A11*90%*28000+A11*10%*50%*3000-((CHI_PHI_VU!G40-SUM(CHI_PHI_VU!G28:G31)-CHI_PHI_VU!G33)+A11*GIA_DINH!D12+A11*90%*(GIA_DINH!D13+GIA_DINH!D14+GIA_DINH!D15)+A11*10%*GIA_DINH!D16)*(1+GIA_DINH!D17))/1000000</f>
        <v>154.24125</v>
      </c>
      <c r="G11" s="130" t="n">
        <f>(A11*90%*30000+A11*10%*50%*3000-((CHI_PHI_VU!G40-SUM(CHI_PHI_VU!G28:G31)-CHI_PHI_VU!G33)+A11*GIA_DINH!D12+A11*90%*(GIA_DINH!D13+GIA_DINH!D14+GIA_DINH!D15)+A11*10%*GIA_DINH!D16)*(1+GIA_DINH!D17))/1000000</f>
        <v>199.24125</v>
      </c>
      <c r="H11" s="130" t="n">
        <f>(A11*90%*35000+A11*10%*50%*3000-((CHI_PHI_VU!G40-SUM(CHI_PHI_VU!G28:G31)-CHI_PHI_VU!G33)+A11*GIA_DINH!D12+A11*90%*(GIA_DINH!D13+GIA_DINH!D14+GIA_DINH!D15)+A11*10%*GIA_DINH!D16)*(1+GIA_DINH!D17))/1000000</f>
        <v>311.74125</v>
      </c>
      <c r="I11" s="130" t="n">
        <f>(A11*90%*40000+A11*10%*50%*3000-((CHI_PHI_VU!G40-SUM(CHI_PHI_VU!G28:G31)-CHI_PHI_VU!G33)+A11*GIA_DINH!D12+A11*90%*(GIA_DINH!D13+GIA_DINH!D14+GIA_DINH!D15)+A11*10%*GIA_DINH!D16)*(1+GIA_DINH!D17))/1000000</f>
        <v>424.24125</v>
      </c>
    </row>
    <row r="12" ht="15" hidden="0" customHeight="1">
      <c r="A12" s="113"/>
      <c r="B12" s="113"/>
      <c r="C12" s="113"/>
      <c r="D12" s="113"/>
      <c r="E12" s="113"/>
      <c r="F12" s="113"/>
      <c r="G12" s="113"/>
      <c r="H12" s="113"/>
      <c r="I12" s="113"/>
    </row>
    <row r="13" ht="15" hidden="0" customHeight="1">
      <c r="A13" s="113"/>
      <c r="B13" s="113"/>
      <c r="C13" s="113"/>
      <c r="D13" s="113"/>
      <c r="E13" s="113"/>
      <c r="F13" s="113"/>
      <c r="G13" s="113"/>
      <c r="H13" s="113"/>
      <c r="I13" s="113"/>
    </row>
    <row r="14" ht="15" hidden="0" customHeight="1">
      <c r="A14" s="92" t="str">
        <v>B. Công hái tại 20 tấn tổng thu</v>
      </c>
      <c r="B14" s="92"/>
      <c r="C14" s="92"/>
      <c r="D14" s="92"/>
      <c r="E14" s="92"/>
      <c r="F14" s="92"/>
      <c r="G14" s="113"/>
      <c r="H14" s="113"/>
      <c r="I14" s="113"/>
    </row>
    <row r="15" ht="15" hidden="0" customHeight="1">
      <c r="A15" s="98" t="str">
        <v>Đơn giá hái đồng/kg</v>
      </c>
      <c r="B15" s="98" t="str">
        <v>Chi phí hái</v>
      </c>
      <c r="C15" s="98" t="str">
        <v>Chênh so mốc 6.000</v>
      </c>
      <c r="D15" s="98" t="str">
        <v>Chi phí vận hành</v>
      </c>
      <c r="E15" s="98" t="str">
        <v>Giá hòa vốn</v>
      </c>
      <c r="F15" s="98" t="str">
        <v>Nguồn/ý nghĩa</v>
      </c>
      <c r="G15" s="113"/>
      <c r="H15" s="113"/>
      <c r="I15" s="113"/>
    </row>
    <row r="16" ht="15" hidden="0" customHeight="1">
      <c r="A16" s="128" t="n">
        <v>4000</v>
      </c>
      <c r="B16" s="101" t="n">
        <f>A16*20000</f>
        <v>80000000</v>
      </c>
      <c r="C16" s="101" t="n">
        <f>B16-120000000</f>
        <v>-40000000</v>
      </c>
      <c r="D16" s="101" t="n">
        <f>CHI_PHI_VU!G42+C16</f>
        <v>400774250</v>
      </c>
      <c r="E16" s="101" t="n">
        <f>(D16-3000000)/18000</f>
        <v>22098.569444444445</v>
      </c>
      <c r="F16" s="102" t="str">
        <v>Mức thấp để kiểm tra</v>
      </c>
      <c r="G16" s="113"/>
      <c r="H16" s="113"/>
      <c r="I16" s="113"/>
    </row>
    <row r="17" ht="15" hidden="0" customHeight="1">
      <c r="A17" s="128" t="n">
        <v>6000</v>
      </c>
      <c r="B17" s="101" t="n">
        <f>A17*20000</f>
        <v>120000000</v>
      </c>
      <c r="C17" s="101" t="n">
        <f>B17-120000000</f>
        <v>0</v>
      </c>
      <c r="D17" s="101" t="n">
        <f>CHI_PHI_VU!G42+C17</f>
        <v>440774250</v>
      </c>
      <c r="E17" s="101" t="n">
        <f>(D17-3000000)/18000</f>
        <v>24320.791666666668</v>
      </c>
      <c r="F17" s="102" t="str">
        <v>Quan sát Vĩnh Long 2026</v>
      </c>
      <c r="G17" s="113"/>
      <c r="H17" s="113"/>
      <c r="I17" s="113"/>
    </row>
    <row r="18" ht="15" hidden="0" customHeight="1">
      <c r="A18" s="128" t="n">
        <v>7000</v>
      </c>
      <c r="B18" s="101" t="n">
        <f>A18*20000</f>
        <v>140000000</v>
      </c>
      <c r="C18" s="101" t="n">
        <f>B18-120000000</f>
        <v>20000000</v>
      </c>
      <c r="D18" s="101" t="n">
        <f>CHI_PHI_VU!G42+C18</f>
        <v>460774250</v>
      </c>
      <c r="E18" s="101" t="n">
        <f>(D18-3000000)/18000</f>
        <v>25431.902777777777</v>
      </c>
      <c r="F18" s="102" t="str">
        <v>Mức trung gian kiểm tra</v>
      </c>
      <c r="G18" s="113"/>
      <c r="H18" s="113"/>
      <c r="I18" s="113"/>
    </row>
    <row r="19" ht="15" hidden="0" customHeight="1">
      <c r="A19" s="128" t="n">
        <v>8333</v>
      </c>
      <c r="B19" s="101" t="n">
        <f>A19*20000</f>
        <v>166660000</v>
      </c>
      <c r="C19" s="101" t="n">
        <f>B19-120000000</f>
        <v>46660000</v>
      </c>
      <c r="D19" s="101" t="n">
        <f>CHI_PHI_VU!G42+C19</f>
        <v>487434250</v>
      </c>
      <c r="E19" s="101" t="n">
        <f>(D19-3000000)/18000</f>
        <v>26913.01388888889</v>
      </c>
      <c r="F19" s="102" t="str">
        <v>250.000 đồng/30 kg xấp xỉ 8.333 đồng/kg</v>
      </c>
      <c r="G19" s="113"/>
      <c r="H19" s="113"/>
      <c r="I19" s="113"/>
    </row>
    <row r="20" ht="15" hidden="0" customHeight="1">
      <c r="A20" s="113"/>
      <c r="B20" s="113"/>
      <c r="C20" s="113"/>
      <c r="D20" s="113"/>
      <c r="E20" s="113"/>
      <c r="F20" s="113"/>
      <c r="G20" s="113"/>
      <c r="H20" s="113"/>
      <c r="I20" s="113"/>
    </row>
    <row r="21" ht="15" hidden="0" customHeight="1">
      <c r="A21" s="113"/>
      <c r="B21" s="113"/>
      <c r="C21" s="113"/>
      <c r="D21" s="113"/>
      <c r="E21" s="113"/>
      <c r="F21" s="113"/>
      <c r="G21" s="113"/>
      <c r="H21" s="113"/>
      <c r="I21" s="113"/>
    </row>
    <row r="22">
      <c r="A22" s="103" t="str">
        <v>Không chọn một ô thuận lợi làm ngân sách. Quyết định phải chịu được ô bất lợi hợp lý, có hợp đồng giá và có kế hoạch nhân lực thu hái ở thời điểm rộ.</v>
      </c>
      <c r="B22" s="104"/>
      <c r="C22" s="104"/>
      <c r="D22" s="104"/>
      <c r="E22" s="104"/>
      <c r="F22" s="104"/>
      <c r="G22" s="104"/>
      <c r="H22" s="104"/>
      <c r="I22" s="105"/>
    </row>
    <row r="23">
      <c r="A23" s="106"/>
      <c r="B23" s="107"/>
      <c r="C23" s="107"/>
      <c r="D23" s="107"/>
      <c r="E23" s="107"/>
      <c r="F23" s="107"/>
      <c r="G23" s="107"/>
      <c r="H23" s="107"/>
      <c r="I23" s="108"/>
    </row>
    <row r="24">
      <c r="A24" s="109"/>
      <c r="B24" s="110"/>
      <c r="C24" s="110"/>
      <c r="D24" s="110"/>
      <c r="E24" s="110"/>
      <c r="F24" s="110"/>
      <c r="G24" s="110"/>
      <c r="H24" s="110"/>
      <c r="I24" s="111"/>
    </row>
  </sheetData>
  <sheetProtection password="B07A" sheet="1" objects="1" scenarios="1" formatCells="1" formatColumns="1" formatRows="1" insertColumns="1" insertRows="1" deleteColumns="1" deleteRows="1" selectLockedCells="0" selectUnlockedCells="0"/>
  <mergeCells>
    <mergeCell ref="A1:I1"/>
    <mergeCell ref="A2:I3"/>
    <mergeCell ref="A4:I4"/>
    <mergeCell ref="A14:F14"/>
    <mergeCell ref="A22:I24"/>
  </mergeCells>
  <pageMargins left="0.7" right="0.7" top="0.75" bottom="0.75" header="0.3" footer="0.3"/>
</worksheet>
</file>

<file path=xl/worksheets/sheet10.xml><?xml version="1.0" encoding="utf-8"?>
<worksheet xmlns="http://schemas.openxmlformats.org/spreadsheetml/2006/main">
  <sheetViews>
    <sheetView showGridLines="0" workbookViewId="0"/>
  </sheetViews>
  <sheetFormatPr defaultRowHeight="15"/>
  <cols>
    <col min="1" max="1" width="34" hidden="0" customWidth="1"/>
    <col min="2" max="2" width="16" hidden="0" customWidth="1"/>
    <col min="3" max="3" width="15" hidden="0" customWidth="1"/>
    <col min="4" max="4" width="18" hidden="0" customWidth="1"/>
    <col min="5" max="5" width="16" hidden="0" customWidth="1"/>
    <col min="6" max="6" width="19" hidden="0" customWidth="1"/>
    <col min="7" max="7" width="19" hidden="0" customWidth="1"/>
    <col min="8" max="8" width="42" hidden="0" customWidth="1"/>
  </cols>
  <sheetData>
    <row r="1" ht="42" hidden="0" customHeight="1">
      <c r="A1" s="147" t="str">
        <v>KẾ HOẠCH LAO ĐỘNG VÀ NĂNG LỰC THU HÁI</v>
      </c>
      <c r="B1" s="147"/>
      <c r="C1" s="147"/>
      <c r="D1" s="147"/>
      <c r="E1" s="147"/>
      <c r="F1" s="147"/>
      <c r="G1" s="147"/>
      <c r="H1" s="90"/>
    </row>
    <row r="2" ht="42" customHeight="1">
      <c r="A2" s="91" t="str">
        <v>Giá theo kg và năng lực theo công phải được kiểm tra đồng thời; không bỏ lao động gia đình.</v>
      </c>
      <c r="B2" s="91"/>
      <c r="C2" s="91"/>
      <c r="D2" s="91"/>
      <c r="E2" s="91"/>
      <c r="F2" s="91"/>
      <c r="G2" s="91"/>
      <c r="H2" s="91"/>
    </row>
    <row r="3">
      <c r="A3" s="91"/>
      <c r="B3" s="91"/>
      <c r="C3" s="91"/>
      <c r="D3" s="91"/>
      <c r="E3" s="91"/>
      <c r="F3" s="91"/>
      <c r="G3" s="91"/>
      <c r="H3" s="91"/>
    </row>
    <row r="4" ht="15" hidden="0" customHeight="1">
      <c r="A4" s="98" t="str">
        <v>Công việc</v>
      </c>
      <c r="B4" s="98" t="str">
        <v>Khối lượng</v>
      </c>
      <c r="C4" s="98" t="str">
        <v>Đơn vị</v>
      </c>
      <c r="D4" s="98" t="str">
        <v>Năng suất/công</v>
      </c>
      <c r="E4" s="98" t="str">
        <v>Số công</v>
      </c>
      <c r="F4" s="98" t="str">
        <v>Đơn giá/công</v>
      </c>
      <c r="G4" s="98" t="str">
        <v>Thành tiền</v>
      </c>
      <c r="H4" s="98" t="str">
        <v>Cách xác nhận</v>
      </c>
    </row>
    <row r="5" ht="15" hidden="0" customHeight="1">
      <c r="A5" s="102" t="str">
        <v>Vườn ươm</v>
      </c>
      <c r="B5" s="131" t="n">
        <v>18</v>
      </c>
      <c r="C5" s="131" t="str">
        <v>công</v>
      </c>
      <c r="D5" s="131" t="n">
        <v>1</v>
      </c>
      <c r="E5" s="132" t="n">
        <f>B5</f>
        <v>18</v>
      </c>
      <c r="F5" s="131" t="n">
        <v>300000</v>
      </c>
      <c r="G5" s="132" t="n">
        <f>E5*F5</f>
        <v>5400000</v>
      </c>
      <c r="H5" s="102" t="str">
        <v>Chấm giờ và nhiệm vụ</v>
      </c>
    </row>
    <row r="6" ht="15" hidden="0" customHeight="1">
      <c r="A6" s="102" t="str">
        <v>Rải phân/hoàn thiện luống</v>
      </c>
      <c r="B6" s="131" t="n">
        <v>35</v>
      </c>
      <c r="C6" s="131" t="str">
        <v>công</v>
      </c>
      <c r="D6" s="131" t="n">
        <v>1</v>
      </c>
      <c r="E6" s="132" t="n">
        <f>B6</f>
        <v>35</v>
      </c>
      <c r="F6" s="131" t="n">
        <v>300000</v>
      </c>
      <c r="G6" s="132" t="n">
        <f>E6*F6</f>
        <v>10500000</v>
      </c>
      <c r="H6" s="102" t="str">
        <v>Chấm giờ</v>
      </c>
    </row>
    <row r="7" ht="15" hidden="0" customHeight="1">
      <c r="A7" s="102" t="str">
        <v>Lắp phủ/tưới/cọc/dây</v>
      </c>
      <c r="B7" s="131" t="n">
        <v>40</v>
      </c>
      <c r="C7" s="131" t="str">
        <v>công</v>
      </c>
      <c r="D7" s="131" t="n">
        <v>1</v>
      </c>
      <c r="E7" s="132" t="n">
        <f>B7</f>
        <v>40</v>
      </c>
      <c r="F7" s="131" t="n">
        <v>300000</v>
      </c>
      <c r="G7" s="132" t="n">
        <f>E7*F7</f>
        <v>12000000</v>
      </c>
      <c r="H7" s="102" t="str">
        <v>Chấm giờ</v>
      </c>
    </row>
    <row r="8" ht="15" hidden="0" customHeight="1">
      <c r="A8" s="102" t="str">
        <v>Chăm sóc/làm cỏ/tỉa/vệ sinh</v>
      </c>
      <c r="B8" s="131" t="n">
        <v>100</v>
      </c>
      <c r="C8" s="131" t="str">
        <v>công</v>
      </c>
      <c r="D8" s="131" t="n">
        <v>1</v>
      </c>
      <c r="E8" s="132" t="n">
        <f>B8</f>
        <v>100</v>
      </c>
      <c r="F8" s="131" t="n">
        <v>300000</v>
      </c>
      <c r="G8" s="132" t="n">
        <f>E8*F8</f>
        <v>30000000</v>
      </c>
      <c r="H8" s="102" t="str">
        <v>Chấm giờ theo khối</v>
      </c>
    </row>
    <row r="9" ht="15" hidden="0" customHeight="1">
      <c r="A9" s="102" t="str">
        <v>Kỹ thuật/giám sát</v>
      </c>
      <c r="B9" s="131" t="n">
        <v>25</v>
      </c>
      <c r="C9" s="131" t="str">
        <v>ngày</v>
      </c>
      <c r="D9" s="131" t="n">
        <v>1</v>
      </c>
      <c r="E9" s="132" t="n">
        <f>B9</f>
        <v>25</v>
      </c>
      <c r="F9" s="131" t="n">
        <v>500000</v>
      </c>
      <c r="G9" s="132" t="n">
        <f>E9*F9</f>
        <v>12500000</v>
      </c>
      <c r="H9" s="102" t="str">
        <v>Nhật ký và sản phẩm công việc</v>
      </c>
    </row>
    <row r="10" ht="15" hidden="0" customHeight="1">
      <c r="A10" s="102" t="str">
        <v>Thu hái – năng lực thận trọng</v>
      </c>
      <c r="B10" s="131" t="n">
        <v>20000</v>
      </c>
      <c r="C10" s="131" t="str">
        <v>kg</v>
      </c>
      <c r="D10" s="131" t="n">
        <v>30</v>
      </c>
      <c r="E10" s="132" t="n">
        <f>B10/D10</f>
        <v>666.6666666666666</v>
      </c>
      <c r="F10" s="131" t="n">
        <v>250000</v>
      </c>
      <c r="G10" s="132" t="n">
        <f>E10*F10</f>
        <v>166666666.66666666</v>
      </c>
      <c r="H10" s="102" t="str">
        <v>Khoảng 30 kg/công từ nguồn báo chí; lập đội theo đỉnh ngày</v>
      </c>
    </row>
    <row r="11" ht="15" hidden="0" customHeight="1">
      <c r="A11" s="102" t="str">
        <v>Thu hái – hợp đồng cơ sở</v>
      </c>
      <c r="B11" s="131" t="n">
        <v>20000</v>
      </c>
      <c r="C11" s="131" t="str">
        <v>kg</v>
      </c>
      <c r="D11" s="131" t="n">
        <v>50</v>
      </c>
      <c r="E11" s="132" t="n">
        <f>B11/D11</f>
        <v>400</v>
      </c>
      <c r="F11" s="131" t="n">
        <v>300000</v>
      </c>
      <c r="G11" s="132" t="n">
        <f>E11*F11</f>
        <v>120000000</v>
      </c>
      <c r="H11" s="102" t="str">
        <v>6.000 đồng/kg tương đương 50 kg/công ở 300.000 đồng</v>
      </c>
    </row>
    <row r="12" ht="15" hidden="0" customHeight="1">
      <c r="A12" s="113"/>
      <c r="B12" s="113"/>
      <c r="C12" s="113"/>
      <c r="D12" s="113"/>
      <c r="E12" s="113"/>
      <c r="F12" s="113"/>
      <c r="G12" s="113"/>
      <c r="H12" s="113"/>
    </row>
    <row r="13" ht="15" hidden="0" customHeight="1">
      <c r="A13" s="113"/>
      <c r="B13" s="113"/>
      <c r="C13" s="113"/>
      <c r="D13" s="113"/>
      <c r="E13" s="113"/>
      <c r="F13" s="113"/>
      <c r="G13" s="113"/>
      <c r="H13" s="113"/>
    </row>
    <row r="14">
      <c r="A14" s="103" t="str">
        <v>Nếu năng lực thực tế chỉ 30 kg/công, 20 tấn cần khoảng 667 công hái. Đây là rủi ro vận hành lớn: phải lập lịch đỉnh ngày, số người, thời gian hái–giao và phương án thiếu lao động trước ra quả rộ.</v>
      </c>
      <c r="B14" s="104"/>
      <c r="C14" s="104"/>
      <c r="D14" s="104"/>
      <c r="E14" s="104"/>
      <c r="F14" s="104"/>
      <c r="G14" s="104"/>
      <c r="H14" s="105"/>
    </row>
    <row r="15">
      <c r="A15" s="106"/>
      <c r="B15" s="107"/>
      <c r="C15" s="107"/>
      <c r="D15" s="107"/>
      <c r="E15" s="107"/>
      <c r="F15" s="107"/>
      <c r="G15" s="107"/>
      <c r="H15" s="108"/>
    </row>
    <row r="16">
      <c r="A16" s="109"/>
      <c r="B16" s="110"/>
      <c r="C16" s="110"/>
      <c r="D16" s="110"/>
      <c r="E16" s="110"/>
      <c r="F16" s="110"/>
      <c r="G16" s="110"/>
      <c r="H16" s="111"/>
    </row>
  </sheetData>
  <sheetProtection password="B07A" sheet="1" objects="1" scenarios="1" formatCells="1" formatColumns="1" formatRows="1" insertColumns="1" insertRows="1" deleteColumns="1" deleteRows="1" selectLockedCells="0" selectUnlockedCells="0"/>
  <mergeCells>
    <mergeCell ref="A1:H1"/>
    <mergeCell ref="A2:H3"/>
    <mergeCell ref="A14:H16"/>
  </mergeCells>
  <pageMargins left="0.7" right="0.7" top="0.75" bottom="0.75" header="0.3" footer="0.3"/>
</worksheet>
</file>

<file path=xl/worksheets/sheet11.xml><?xml version="1.0" encoding="utf-8"?>
<worksheet xmlns="http://schemas.openxmlformats.org/spreadsheetml/2006/main">
  <sheetViews>
    <sheetView showGridLines="0" workbookViewId="0"/>
  </sheetViews>
  <sheetFormatPr defaultRowHeight="15"/>
  <cols>
    <col min="1" max="1" width="16" hidden="0" customWidth="1"/>
    <col min="2" max="2" width="37" hidden="0" customWidth="1"/>
    <col min="3" max="3" width="17" hidden="0" customWidth="1"/>
    <col min="4" max="4" width="27" hidden="0" customWidth="1"/>
    <col min="5" max="5" width="47" hidden="0" customWidth="1"/>
    <col min="6" max="6" width="27" hidden="0" customWidth="1"/>
    <col min="7" max="7" width="34" hidden="0" customWidth="1"/>
  </cols>
  <sheetData>
    <row r="1" ht="42" hidden="0" customHeight="1">
      <c r="A1" s="147" t="str">
        <v>DANH MỤC VẬT TƯ VÀ CỔNG MUA</v>
      </c>
      <c r="B1" s="147"/>
      <c r="C1" s="147"/>
      <c r="D1" s="147"/>
      <c r="E1" s="147"/>
      <c r="F1" s="147"/>
      <c r="G1" s="147"/>
    </row>
    <row r="2" ht="42" customHeight="1">
      <c r="A2" s="91" t="str">
        <v>Số lượng kỹ thuật khác số lượng mua. Mỗi dòng phải có cách đo, trạng thái và bằng chứng phê duyệt.</v>
      </c>
      <c r="B2" s="91"/>
      <c r="C2" s="91"/>
      <c r="D2" s="91"/>
      <c r="E2" s="91"/>
      <c r="F2" s="91"/>
      <c r="G2" s="91"/>
    </row>
    <row r="3">
      <c r="A3" s="91"/>
      <c r="B3" s="91"/>
      <c r="C3" s="91"/>
      <c r="D3" s="91"/>
      <c r="E3" s="91"/>
      <c r="F3" s="91"/>
      <c r="G3" s="91"/>
    </row>
    <row r="4" ht="15" hidden="0" customHeight="1">
      <c r="A4" s="98" t="str">
        <v>Nhóm</v>
      </c>
      <c r="B4" s="98" t="str">
        <v>Vật tư/thiết bị</v>
      </c>
      <c r="C4" s="98" t="str">
        <v>Đơn vị</v>
      </c>
      <c r="D4" s="98" t="str">
        <v>Số lượng khởi tạo</v>
      </c>
      <c r="E4" s="98" t="str">
        <v>Cách xác nhận</v>
      </c>
      <c r="F4" s="98" t="str">
        <v>Trạng thái Rev.D</v>
      </c>
      <c r="G4" s="98" t="str">
        <v>Hành động trước mua</v>
      </c>
    </row>
    <row r="5" ht="28.799999237060547" hidden="0" customHeight="1">
      <c r="A5" s="102" t="str">
        <v>Hạt giống</v>
      </c>
      <c r="B5" s="102" t="str">
        <v>Ớt hiểm Chánh Phong 04 đúng lô</v>
      </c>
      <c r="C5" s="102" t="str">
        <v>hạt</v>
      </c>
      <c r="D5" s="102" t="n">
        <v>43200</v>
      </c>
      <c r="E5" s="102" t="str">
        <v>Mức lập kế hoạch cho tối đa 30.000 cây ngoài ruộng, dự phòng cây giống 10%, nảy mầm 85% và cây ươm dùng được 90%; số gói chỉ được khóa sau khi đếm hạt của đúng lô</v>
      </c>
      <c r="F5" s="133" t="str">
        <v>Chưa có bằng chứng lô thực tế</v>
      </c>
      <c r="G5" s="133" t="str">
        <v>Bổ sung báo giá/hồ sơ và phê duyệt theo cổng</v>
      </c>
    </row>
    <row r="6" ht="15" hidden="0" customHeight="1">
      <c r="A6" s="102" t="str">
        <v>Vườn ươm</v>
      </c>
      <c r="B6" s="102" t="str">
        <v>Khay ươm 128 lỗ</v>
      </c>
      <c r="C6" s="102" t="str">
        <v>khay</v>
      </c>
      <c r="D6" s="102" t="str">
        <v>338 khay sử dụng + 17 khay dự phòng</v>
      </c>
      <c r="E6" s="102" t="str">
        <v>Khử vệ sinh, đánh mã từng khay; nếu dùng khay kích thước khác phải tính lại</v>
      </c>
      <c r="F6" s="133" t="str">
        <v>Chưa có bằng chứng lô thực tế</v>
      </c>
      <c r="G6" s="133" t="str">
        <v>Bổ sung báo giá/hồ sơ và phê duyệt theo cổng</v>
      </c>
    </row>
    <row r="7" ht="15" hidden="0" customHeight="1">
      <c r="A7" s="102" t="str">
        <v>Vườn ươm</v>
      </c>
      <c r="B7" s="102" t="str">
        <v>Nhãn khay chịu nước</v>
      </c>
      <c r="C7" s="102" t="str">
        <v>nhãn</v>
      </c>
      <c r="D7" s="102" t="str">
        <v>355</v>
      </c>
      <c r="E7" s="102" t="str">
        <v>Mỗi khay một nhãn: giống, lô, xử lý, ngày gieo, người gieo</v>
      </c>
      <c r="F7" s="133" t="str">
        <v>Chưa có bằng chứng lô thực tế</v>
      </c>
      <c r="G7" s="133" t="str">
        <v>Bổ sung báo giá/hồ sơ và phê duyệt theo cổng</v>
      </c>
    </row>
    <row r="8" ht="19.200000762939453" hidden="0" customHeight="1">
      <c r="A8" s="102" t="str">
        <v>Vườn ươm</v>
      </c>
      <c r="B8" s="102" t="str">
        <v>Giá thể đã phê duyệt</v>
      </c>
      <c r="C8" s="102" t="str">
        <v>m³</v>
      </c>
      <c r="D8" s="102" t="str">
        <v>1,50 m³ ngân sách; khóa lại sau phép đong 355 khay</v>
      </c>
      <c r="E8" s="102" t="str">
        <v>Dải suy ra từ 20–30 mL/lỗ × 45.440 lỗ × 110%; trước mua phải đong nước một khay thực, trừ thể tích rễ/độ nén và thay dải bằng số đo</v>
      </c>
      <c r="F8" s="133" t="str">
        <v>Chưa có bằng chứng lô thực tế</v>
      </c>
      <c r="G8" s="133" t="str">
        <v>Bổ sung báo giá/hồ sơ và phê duyệt theo cổng</v>
      </c>
    </row>
    <row r="9" ht="15" hidden="0" customHeight="1">
      <c r="A9" s="102" t="str">
        <v>Vườn ươm</v>
      </c>
      <c r="B9" s="102" t="str">
        <v>Khu ươm hữu dụng</v>
      </c>
      <c r="C9" s="102" t="str">
        <v>m²</v>
      </c>
      <c r="D9" s="102" t="str">
        <v>180</v>
      </c>
      <c r="E9" s="102" t="str">
        <v>Có lối đi, lưới côn trùng phù hợp, thoát nước, bàn kê và khu cách ly</v>
      </c>
      <c r="F9" s="133" t="str">
        <v>Chưa có bằng chứng lô thực tế</v>
      </c>
      <c r="G9" s="133" t="str">
        <v>Bổ sung báo giá/hồ sơ và phê duyệt theo cổng</v>
      </c>
    </row>
    <row r="10" ht="19.200000762939453" hidden="0" customHeight="1">
      <c r="A10" s="102" t="str">
        <v>Đất</v>
      </c>
      <c r="B10" s="102" t="str">
        <v>Compost trưởng thành được phê duyệt</v>
      </c>
      <c r="C10" s="102" t="str">
        <v>tấn tươi</v>
      </c>
      <c r="D10" s="102" t="str">
        <v>25–30</v>
      </c>
      <c r="E10" s="102" t="str">
        <v>Là phong bì tham chiếu; lượng cuối cùng dựa trên đất, độ ẩm và phiếu phân tích compost</v>
      </c>
      <c r="F10" s="133" t="str">
        <v>Chưa có bằng chứng lô thực tế</v>
      </c>
      <c r="G10" s="133" t="str">
        <v>Bổ sung báo giá/hồ sơ và phê duyệt theo cổng</v>
      </c>
    </row>
    <row r="11" ht="19.200000762939453" hidden="0" customHeight="1">
      <c r="A11" s="102" t="str">
        <v>Đất</v>
      </c>
      <c r="B11" s="102" t="str">
        <v>Vôi hoặc vật liệu điều chỉnh độ chua được phép</v>
      </c>
      <c r="C11" s="102" t="str">
        <v>kg</v>
      </c>
      <c r="D11" s="102" t="str">
        <v>0–500</v>
      </c>
      <c r="E11" s="102" t="str">
        <v>Chỉ dùng khi phân tích đất chứng minh nhu cầu và đầu vào được tổ chức chứng nhận chấp thuận</v>
      </c>
      <c r="F11" s="133" t="str">
        <v>Chưa có bằng chứng lô thực tế</v>
      </c>
      <c r="G11" s="133" t="str">
        <v>Bổ sung báo giá/hồ sơ và phê duyệt theo cổng</v>
      </c>
    </row>
    <row r="12" ht="19.200000762939453" hidden="0" customHeight="1">
      <c r="A12" s="102" t="str">
        <v>Ruộng</v>
      </c>
      <c r="B12" s="102" t="str">
        <v>Cây trồng ngoài ruộng</v>
      </c>
      <c r="C12" s="102" t="str">
        <v>cây</v>
      </c>
      <c r="D12" s="102" t="n">
        <v>30000</v>
      </c>
      <c r="E12" s="102" t="str">
        <v>Mục tiêu trần; số thực tế phải tính từ diện tích hữu dụng, mô-đun luống đã gồm rãnh, tổng mét hàng và vị trí bị loại; không ép đủ 30.000 cây nếu bản vẽ không cho phép</v>
      </c>
      <c r="F12" s="133" t="str">
        <v>Chưa có bằng chứng lô thực tế</v>
      </c>
      <c r="G12" s="133" t="str">
        <v>Bổ sung báo giá/hồ sơ và phê duyệt theo cổng</v>
      </c>
    </row>
    <row r="13" ht="28.799999237060547" hidden="0" customHeight="1">
      <c r="A13" s="102" t="str">
        <v>Ruộng</v>
      </c>
      <c r="B13" s="102" t="str">
        <v>Mô-đun luống hai hàng đã gồm rãnh</v>
      </c>
      <c r="C13" s="102" t="str">
        <v>m</v>
      </c>
      <c r="D13" s="102" t="str">
        <v>1,40–1,50 m từ tim mô-đun này đến tim mô-đun kế tiếp</v>
      </c>
      <c r="E13" s="102" t="str">
        <v>Bố trí hai hàng cách nhau khoảng 0,70 m, cây cách cây 0,45–0,50 m; bề rộng mặt luống và rãnh được chốt bằng bản vẽ hoàn công. Mật độ vận hành không vượt 30.000 cây/ha</v>
      </c>
      <c r="F13" s="133" t="str">
        <v>Chưa có bằng chứng lô thực tế</v>
      </c>
      <c r="G13" s="133" t="str">
        <v>Bổ sung báo giá/hồ sơ và phê duyệt theo cổng</v>
      </c>
    </row>
    <row r="14" ht="15" hidden="0" customHeight="1">
      <c r="A14" s="102" t="str">
        <v>Ruộng</v>
      </c>
      <c r="B14" s="102" t="str">
        <v>Cây dự phòng để dặm</v>
      </c>
      <c r="C14" s="102" t="str">
        <v>cây</v>
      </c>
      <c r="D14" s="102" t="n">
        <v>3000</v>
      </c>
      <c r="E14" s="102" t="str">
        <v>Giữ cùng lô và điều kiện; ưu tiên dặm trong 5–7 ngày sau trồng</v>
      </c>
      <c r="F14" s="133" t="str">
        <v>Chưa có bằng chứng lô thực tế</v>
      </c>
      <c r="G14" s="133" t="str">
        <v>Bổ sung báo giá/hồ sơ và phê duyệt theo cổng</v>
      </c>
    </row>
    <row r="15" ht="19.200000762939453" hidden="0" customHeight="1">
      <c r="A15" s="102" t="str">
        <v>Tưới</v>
      </c>
      <c r="B15" s="102" t="str">
        <v>Chiều dài hàng cây tính toán</v>
      </c>
      <c r="C15" s="102" t="str">
        <v>m</v>
      </c>
      <c r="D15" s="102" t="str">
        <v>12.600–15.000</v>
      </c>
      <c r="E15" s="102" t="str">
        <v>Bằng số cây thực tế × khoảng cách cây 0,45–0,50 m; dùng để ước tính dây tưới rồi hiệu chỉnh theo bản vẽ hoàn công</v>
      </c>
      <c r="F15" s="133" t="str">
        <v>Chưa có bằng chứng lô thực tế</v>
      </c>
      <c r="G15" s="133" t="str">
        <v>Bổ sung báo giá/hồ sơ và phê duyệt theo cổng</v>
      </c>
    </row>
    <row r="16" ht="19.200000762939453" hidden="0" customHeight="1">
      <c r="A16" s="102" t="str">
        <v>Tưới</v>
      </c>
      <c r="B16" s="102" t="str">
        <v>Dây nhỏ giọt dùng một vụ</v>
      </c>
      <c r="C16" s="102" t="str">
        <v>m</v>
      </c>
      <c r="D16" s="102" t="n">
        <v>15000</v>
      </c>
      <c r="E16" s="102" t="str">
        <v>Ngân sách 15 cuộn × 1.000 m; khoảng cách đầu nhỏ giọt và lưu lượng phải lấy từ nhãn lô, không suy từ tên sản phẩm</v>
      </c>
      <c r="F16" s="133" t="str">
        <v>Chưa có bằng chứng lô thực tế</v>
      </c>
      <c r="G16" s="133" t="str">
        <v>Bổ sung báo giá/hồ sơ và phê duyệt theo cổng</v>
      </c>
    </row>
    <row r="17" ht="19.200000762939453" hidden="0" customHeight="1">
      <c r="A17" s="102" t="str">
        <v>Tưới</v>
      </c>
      <c r="B17" s="102" t="str">
        <v>Áp suất và lưu lượng thiết kế</v>
      </c>
      <c r="C17" s="102" t="str">
        <v>công thức</v>
      </c>
      <c r="D17" s="102" t="str">
        <v>Lưu lượng khối = số đầu hoạt động × lưu lượng nhãn; dự phòng bơm 15%</v>
      </c>
      <c r="E17" s="102" t="str">
        <v>Chia ít nhất 4 khối tưới luân phiên; đo áp đầu–cuối tuyến và không mua bơm/lọc trước khi có bản vẽ thủy lực</v>
      </c>
      <c r="F17" s="133" t="str">
        <v>Chưa có bằng chứng lô thực tế</v>
      </c>
      <c r="G17" s="133" t="str">
        <v>Bổ sung báo giá/hồ sơ và phê duyệt theo cổng</v>
      </c>
    </row>
    <row r="18" ht="19.200000762939453" hidden="0" customHeight="1">
      <c r="A18" s="102" t="str">
        <v>Che phủ</v>
      </c>
      <c r="B18" s="102" t="str">
        <v>Màng phủ nông nghiệp</v>
      </c>
      <c r="C18" s="102" t="str">
        <v>cuộn</v>
      </c>
      <c r="D18" s="102" t="str">
        <v>20 cuộn × 1,2 m × 400 m</v>
      </c>
      <c r="E18" s="102" t="str">
        <v>Tổng chiều dài danh nghĩa 8.000 m; chốt khổ theo bề rộng mặt luống và cộng hao hụt mép/nối 5–8%</v>
      </c>
      <c r="F18" s="133" t="str">
        <v>Chưa có bằng chứng lô thực tế</v>
      </c>
      <c r="G18" s="133" t="str">
        <v>Bổ sung báo giá/hồ sơ và phê duyệt theo cổng</v>
      </c>
    </row>
    <row r="19" ht="19.200000762939453" hidden="0" customHeight="1">
      <c r="A19" s="102" t="str">
        <v>Giàn</v>
      </c>
      <c r="B19" s="102" t="str">
        <v>Cọc và dây buộc</v>
      </c>
      <c r="C19" s="102" t="str">
        <v>bộ</v>
      </c>
      <c r="D19" s="102" t="str">
        <v>2.200 cọc dài 1,6–1,8 m; 60 kg dây mềm</v>
      </c>
      <c r="E19" s="102" t="str">
        <v>Khoảng 4–5 m một cọc dọc hàng và cọc tăng cường ở đầu hàng; kiểm tải gió trước khi mua</v>
      </c>
      <c r="F19" s="133" t="str">
        <v>Chưa có bằng chứng lô thực tế</v>
      </c>
      <c r="G19" s="133" t="str">
        <v>Bổ sung báo giá/hồ sơ và phê duyệt theo cổng</v>
      </c>
    </row>
    <row r="20" ht="15" hidden="0" customHeight="1">
      <c r="A20" s="102" t="str">
        <v>Tưới</v>
      </c>
      <c r="B20" s="102" t="str">
        <v>Đồng hồ nước</v>
      </c>
      <c r="C20" s="102" t="str">
        <v>bộ</v>
      </c>
      <c r="D20" s="102" t="str">
        <v>05 điểm đọc: 01 chính + 04 khối</v>
      </c>
      <c r="E20" s="102" t="str">
        <v>Ghi số đầu–cuối mỗi lần tưới; niêm phong hoặc quản lý quyền điều chỉnh</v>
      </c>
      <c r="F20" s="133" t="str">
        <v>Chưa có bằng chứng lô thực tế</v>
      </c>
      <c r="G20" s="133" t="str">
        <v>Bổ sung báo giá/hồ sơ và phê duyệt theo cổng</v>
      </c>
    </row>
    <row r="21" ht="15" hidden="0" customHeight="1">
      <c r="A21" s="102" t="str">
        <v>Tưới</v>
      </c>
      <c r="B21" s="102" t="str">
        <v>Bộ lọc và điều áp</v>
      </c>
      <c r="C21" s="102" t="str">
        <v>bộ</v>
      </c>
      <c r="D21" s="102" t="str">
        <v>01 bộ theo lưu lượng thiết kế</v>
      </c>
      <c r="E21" s="102" t="str">
        <v>Chọn theo chất lượng nước và lưu lượng đồng thời; có đồng hồ áp trước–sau lọc</v>
      </c>
      <c r="F21" s="133" t="str">
        <v>Chưa có bằng chứng lô thực tế</v>
      </c>
      <c r="G21" s="133" t="str">
        <v>Bổ sung báo giá/hồ sơ và phê duyệt theo cổng</v>
      </c>
    </row>
    <row r="22" ht="19.200000762939453" hidden="0" customHeight="1">
      <c r="A22" s="102" t="str">
        <v>Tưới</v>
      </c>
      <c r="B22" s="102" t="str">
        <v>Van khối, đầu nối, nút cuối và phụ tùng sửa chữa</v>
      </c>
      <c r="C22" s="102" t="str">
        <v>bộ</v>
      </c>
      <c r="D22" s="102" t="str">
        <v>Tối thiểu 04 van khối + 10% đầu nối/nút cuối dự phòng theo bản vẽ</v>
      </c>
      <c r="E22" s="102" t="str">
        <v>Mỗi khối có khả năng cô lập; quy cách đường kính và áp làm việc phải đồng bộ với thiết kế thủy lực và nhãn dây tưới</v>
      </c>
      <c r="F22" s="133" t="str">
        <v>Chưa có bằng chứng lô thực tế</v>
      </c>
      <c r="G22" s="133" t="str">
        <v>Bổ sung báo giá/hồ sơ và phê duyệt theo cổng</v>
      </c>
    </row>
    <row r="23" ht="15" hidden="0" customHeight="1">
      <c r="A23" s="102" t="str">
        <v>Theo dõi</v>
      </c>
      <c r="B23" s="102" t="str">
        <v>Bẫy dính màu</v>
      </c>
      <c r="C23" s="102" t="str">
        <v>bẫy đang hoạt động</v>
      </c>
      <c r="D23" s="102" t="str">
        <v>20/ha</v>
      </c>
      <c r="E23" s="102" t="str">
        <v>Đánh số, đặt theo sơ đồ; thay khi mất dính hoặc bẩn và lưu số đếm theo tuần</v>
      </c>
      <c r="F23" s="133" t="str">
        <v>Chưa có bằng chứng lô thực tế</v>
      </c>
      <c r="G23" s="133" t="str">
        <v>Bổ sung báo giá/hồ sơ và phê duyệt theo cổng</v>
      </c>
    </row>
    <row r="24" ht="19.200000762939453" hidden="0" customHeight="1">
      <c r="A24" s="102" t="str">
        <v>Theo dõi</v>
      </c>
      <c r="B24" s="102" t="str">
        <v>Bẫy dính thay thế</v>
      </c>
      <c r="C24" s="102" t="str">
        <v>bẫy/lần thay</v>
      </c>
      <c r="D24" s="102" t="str">
        <v>Tối thiểu 25 bẫy cho lần lắp đầu: 20 hoạt động + 5 dự phòng</v>
      </c>
      <c r="E24" s="102" t="str">
        <v>Số mua cả vụ = 20 × số chu kỳ thay dự kiến + dự phòng; chu kỳ thay do độ bẩn và nhãn sản phẩm, không ấn định theo cảm tính</v>
      </c>
      <c r="F24" s="133" t="str">
        <v>Chưa có bằng chứng lô thực tế</v>
      </c>
      <c r="G24" s="133" t="str">
        <v>Bổ sung báo giá/hồ sơ và phê duyệt theo cổng</v>
      </c>
    </row>
    <row r="25" ht="15" hidden="0" customHeight="1">
      <c r="A25" s="102" t="str">
        <v>Theo dõi</v>
      </c>
      <c r="B25" s="102" t="str">
        <v>Cây khảo sát luân phiên</v>
      </c>
      <c r="C25" s="102" t="str">
        <v>cây/lượt</v>
      </c>
      <c r="D25" s="102" t="str">
        <v>50</v>
      </c>
      <c r="E25" s="102" t="str">
        <v>Chia 5 vùng × 10 cây, chọn ngẫu nhiên; kiểm tối thiểu hai lượt mỗi tuần</v>
      </c>
      <c r="F25" s="133" t="str">
        <v>Chưa có bằng chứng lô thực tế</v>
      </c>
      <c r="G25" s="133" t="str">
        <v>Bổ sung báo giá/hồ sơ và phê duyệt theo cổng</v>
      </c>
    </row>
    <row r="26" ht="19.200000762939453" hidden="0" customHeight="1">
      <c r="A26" s="102" t="str">
        <v>Theo dõi</v>
      </c>
      <c r="B26" s="102" t="str">
        <v>Cây gắn thẻ cố định</v>
      </c>
      <c r="C26" s="102" t="str">
        <v>cây</v>
      </c>
      <c r="D26" s="102" t="str">
        <v>240</v>
      </c>
      <c r="E26" s="102" t="str">
        <v>60 cây mỗi khối × 4 khối, dùng cho sinh trưởng và năng suất; không thay thế mẫu sâu bệnh luân phiên</v>
      </c>
      <c r="F26" s="133" t="str">
        <v>Chưa có bằng chứng lô thực tế</v>
      </c>
      <c r="G26" s="133" t="str">
        <v>Bổ sung báo giá/hồ sơ và phê duyệt theo cổng</v>
      </c>
    </row>
    <row r="27" ht="19.200000762939453" hidden="0" customHeight="1">
      <c r="A27" s="102" t="str">
        <v>Thu hoạch</v>
      </c>
      <c r="B27" s="102" t="str">
        <v>Sọt/thùng thực phẩm sạch</v>
      </c>
      <c r="C27" s="102" t="str">
        <v>sọt</v>
      </c>
      <c r="D27" s="102" t="str">
        <v>60 sọt × sức chứa danh nghĩa 20 kg</v>
      </c>
      <c r="E27" s="102" t="str">
        <v>Sức chứa tức thời 1.200 kg; số cuối cùng = sản lượng đỉnh ngày ÷ (kg/sọt × số vòng quay), làm tròn lên và cộng 10% dự phòng</v>
      </c>
      <c r="F27" s="133" t="str">
        <v>Chưa có bằng chứng lô thực tế</v>
      </c>
      <c r="G27" s="133" t="str">
        <v>Bổ sung báo giá/hồ sơ và phê duyệt theo cổng</v>
      </c>
    </row>
    <row r="28" ht="19.200000762939453" hidden="0" customHeight="1">
      <c r="A28" s="102" t="str">
        <v>Thu hoạch</v>
      </c>
      <c r="B28" s="102" t="str">
        <v>Bao gói và nhãn lô</v>
      </c>
      <c r="C28" s="102" t="str">
        <v>bộ/vụ</v>
      </c>
      <c r="D28" s="102" t="str">
        <v>18.000 kg thương phẩm × quy cách bên mua</v>
      </c>
      <c r="E28" s="102" t="str">
        <v>Nếu thùng 10 kg thì lập ngân sách 1.800 thùng cộng 2% dự phòng; không mua trước khi chốt vật liệu tiếp xúc thực phẩm và quy cách</v>
      </c>
      <c r="F28" s="133" t="str">
        <v>Chưa có bằng chứng lô thực tế</v>
      </c>
      <c r="G28" s="133" t="str">
        <v>Bổ sung báo giá/hồ sơ và phê duyệt theo cổng</v>
      </c>
    </row>
    <row r="29" ht="19.200000762939453" hidden="0" customHeight="1">
      <c r="A29" s="102" t="str">
        <v>Vệ sinh</v>
      </c>
      <c r="B29" s="102" t="str">
        <v>Bộ dụng cụ vệ sinh chuyên dụng</v>
      </c>
      <c r="C29" s="102" t="str">
        <v>bộ</v>
      </c>
      <c r="D29" s="102" t="str">
        <v>04 bộ màu hóa theo khu vực</v>
      </c>
      <c r="E29" s="102" t="str">
        <v>Mỗi bộ gồm bàn chải, chổi, xô, ca đong, bảng pha, khăn dùng một lần và biển nhận diện; hóa chất chỉ dùng sau phê duyệt</v>
      </c>
      <c r="F29" s="133" t="str">
        <v>Chưa có bằng chứng lô thực tế</v>
      </c>
      <c r="G29" s="133" t="str">
        <v>Bổ sung báo giá/hồ sơ và phê duyệt theo cổng</v>
      </c>
    </row>
    <row r="30" ht="19.200000762939453" hidden="0" customHeight="1">
      <c r="A30" s="102" t="str">
        <v>An toàn</v>
      </c>
      <c r="B30" s="102" t="str">
        <v>Phương tiện bảo hộ cá nhân</v>
      </c>
      <c r="C30" s="102" t="str">
        <v>bộ</v>
      </c>
      <c r="D30" s="102" t="str">
        <v>12 bộ dùng chung theo cỡ + vật tư tiêu hao cho 01 vụ</v>
      </c>
      <c r="E30" s="102" t="str">
        <v>Tối thiểu găng, kính, ủng, quần áo dài tay, khẩu trang theo nhãn; bổ sung mặt nạ/lõi lọc khi nhãn yêu cầu</v>
      </c>
      <c r="F30" s="133" t="str">
        <v>Chưa có bằng chứng lô thực tế</v>
      </c>
      <c r="G30" s="133" t="str">
        <v>Bổ sung báo giá/hồ sơ và phê duyệt theo cổng</v>
      </c>
    </row>
    <row r="31" ht="19.200000762939453" hidden="0" customHeight="1">
      <c r="A31" s="102" t="str">
        <v>An toàn</v>
      </c>
      <c r="B31" s="102" t="str">
        <v>Bộ sơ cứu, nước rửa tay, nước uống và che nắng</v>
      </c>
      <c r="C31" s="102" t="str">
        <v>điểm</v>
      </c>
      <c r="D31" s="102" t="str">
        <v>Tối thiểu 01 điểm/nhóm làm việc; tăng theo khoảng cách ruộng</v>
      </c>
      <c r="E31" s="102" t="str">
        <v>Kiểm đầu ca và ghi người chịu trách nhiệm</v>
      </c>
      <c r="F31" s="133" t="str">
        <v>Chưa có bằng chứng lô thực tế</v>
      </c>
      <c r="G31" s="133" t="str">
        <v>Bổ sung báo giá/hồ sơ và phê duyệt theo cổng</v>
      </c>
    </row>
    <row r="32" ht="15" hidden="0" customHeight="1">
      <c r="A32" s="102" t="str">
        <v>Đo lường</v>
      </c>
      <c r="B32" s="102" t="str">
        <v>Cân hạt, cân kỹ thuật, cân thu hoạch</v>
      </c>
      <c r="C32" s="102" t="str">
        <v>bộ</v>
      </c>
      <c r="D32" s="102" t="str">
        <v>01 bộ mỗi loại + quả cân kiểm tra phù hợp</v>
      </c>
      <c r="E32" s="102" t="str">
        <v>Kiểm điểm không và quả cân trước ca; giữ lô khi phát hiện sai lệch</v>
      </c>
      <c r="F32" s="133" t="str">
        <v>Chưa có bằng chứng lô thực tế</v>
      </c>
      <c r="G32" s="133" t="str">
        <v>Bổ sung báo giá/hồ sơ và phê duyệt theo cổng</v>
      </c>
    </row>
    <row r="33" ht="19.200000762939453" hidden="0" customHeight="1">
      <c r="A33" s="102" t="str">
        <v>Đo lường</v>
      </c>
      <c r="B33" s="102" t="str">
        <v>Máy đo độ chua/kiềm, độ dẫn điện, ẩm và nhiệt kế</v>
      </c>
      <c r="C33" s="102" t="str">
        <v>bộ</v>
      </c>
      <c r="D33" s="102" t="str">
        <v>01 bộ chính; nhiệt kế xử lý hạt có 01 thiết bị kiểm độc lập</v>
      </c>
      <c r="E33" s="102" t="str">
        <v>Hiệu chuẩn theo hướng dẫn nhà sản xuất, ghi dung dịch chuẩn, ngày và người thực hiện</v>
      </c>
      <c r="F33" s="133" t="str">
        <v>Chưa có bằng chứng lô thực tế</v>
      </c>
      <c r="G33" s="133" t="str">
        <v>Bổ sung báo giá/hồ sơ và phê duyệt theo cổng</v>
      </c>
    </row>
    <row r="34" ht="15" hidden="0" customHeight="1">
      <c r="A34" s="102" t="str">
        <v>Truy xuất</v>
      </c>
      <c r="B34" s="102" t="str">
        <v>Tem lô, túi mẫu, dây niêm phong và sổ hiện trường</v>
      </c>
      <c r="C34" s="102" t="str">
        <v>bộ/vụ</v>
      </c>
      <c r="D34" s="102" t="str">
        <v>01 bộ được đánh số liên tục</v>
      </c>
      <c r="E34" s="102" t="str">
        <v>Mã phải nối hạt–khay–khối–lượt thu–giao hàng</v>
      </c>
      <c r="F34" s="133" t="str">
        <v>Chưa có bằng chứng lô thực tế</v>
      </c>
      <c r="G34" s="133" t="str">
        <v>Bổ sung báo giá/hồ sơ và phê duyệt theo cổng</v>
      </c>
    </row>
    <row r="35" ht="19.200000762939453" hidden="0" customHeight="1">
      <c r="A35" s="102" t="str">
        <v>Lấy mẫu</v>
      </c>
      <c r="B35" s="102" t="str">
        <v>Khoan đất, xô trộn sạch, túi mẫu, nhãn và hộp vận chuyển</v>
      </c>
      <c r="C35" s="102" t="str">
        <v>bộ</v>
      </c>
      <c r="D35" s="102" t="str">
        <v>02 bộ tách riêng: 01 bộ đất và 01 bộ nước/mô cây</v>
      </c>
      <c r="E35" s="102" t="str">
        <v>Không dùng xô từng chứa phân hoặc thuốc; túi/chai theo đúng hướng dẫn phòng thử nghiệm; có biểu mẫu chuỗi bàn giao</v>
      </c>
      <c r="F35" s="133" t="str">
        <v>Chưa có bằng chứng lô thực tế</v>
      </c>
      <c r="G35" s="133" t="str">
        <v>Bổ sung báo giá/hồ sơ và phê duyệt theo cổng</v>
      </c>
    </row>
    <row r="36" ht="19.200000762939453" hidden="0" customHeight="1">
      <c r="A36" s="102" t="str">
        <v>Đo hình thái</v>
      </c>
      <c r="B36" s="102" t="str">
        <v>Thước thẳng, thước cặp, cân 0,01 g và bảng màu</v>
      </c>
      <c r="C36" s="102" t="str">
        <v>bộ</v>
      </c>
      <c r="D36" s="102" t="str">
        <v>02 bộ hiện trường + 01 bộ kiểm tra độc lập</v>
      </c>
      <c r="E36" s="102" t="str">
        <v>Thước cặp dải tối thiểu 0–150 mm; cân có quả cân kiểm tra; bảng màu và vị trí đo dùng thống nhất toàn vụ</v>
      </c>
      <c r="F36" s="133" t="str">
        <v>Chưa có bằng chứng lô thực tế</v>
      </c>
      <c r="G36" s="133" t="str">
        <v>Bổ sung báo giá/hồ sơ và phê duyệt theo cổng</v>
      </c>
    </row>
  </sheetData>
  <sheetProtection password="B07A" sheet="1" objects="1" scenarios="1" formatCells="1" formatColumns="1" formatRows="1" insertColumns="1" insertRows="1" deleteColumns="1" deleteRows="1" selectLockedCells="0" selectUnlockedCells="0"/>
  <mergeCells>
    <mergeCell ref="A1:G1"/>
    <mergeCell ref="A2:G3"/>
  </mergeCells>
  <pageMargins left="0.7" right="0.7" top="0.75" bottom="0.75" header="0.3" footer="0.3"/>
</worksheet>
</file>

<file path=xl/worksheets/sheet12.xml><?xml version="1.0" encoding="utf-8"?>
<worksheet xmlns="http://schemas.openxmlformats.org/spreadsheetml/2006/main">
  <sheetViews>
    <sheetView showGridLines="0" workbookViewId="0"/>
  </sheetViews>
  <sheetFormatPr defaultRowHeight="15"/>
  <cols>
    <col min="1" max="1" width="20" hidden="0" customWidth="1"/>
    <col min="2" max="2" width="44" hidden="0" customWidth="1"/>
    <col min="3" max="3" width="35" hidden="0" customWidth="1"/>
    <col min="4" max="4" width="36" hidden="0" customWidth="1"/>
    <col min="5" max="5" width="18" hidden="0" customWidth="1"/>
    <col min="6" max="6" width="18" hidden="0" customWidth="1"/>
    <col min="7" max="7" width="43" hidden="0" customWidth="1"/>
  </cols>
  <sheetData>
    <row r="1" ht="42" hidden="0" customHeight="1">
      <c r="A1" s="147" t="str">
        <v>KẾ HOẠCH KIỂM NGHIỆM VÀ PHÁT HÀNH KẾT QUẢ</v>
      </c>
      <c r="B1" s="147"/>
      <c r="C1" s="147"/>
      <c r="D1" s="147"/>
      <c r="E1" s="147"/>
      <c r="F1" s="147"/>
      <c r="G1" s="147"/>
    </row>
    <row r="2" ht="42" customHeight="1">
      <c r="A2" s="91" t="str">
        <v>Tần suất là kiểm soát nội bộ đề xuất trừ khi cột căn cứ ghi quy chuẩn hoặc hợp đồng bắt buộc.</v>
      </c>
      <c r="B2" s="91"/>
      <c r="C2" s="91"/>
      <c r="D2" s="91"/>
      <c r="E2" s="91"/>
      <c r="F2" s="91"/>
      <c r="G2" s="91"/>
    </row>
    <row r="3">
      <c r="A3" s="91"/>
      <c r="B3" s="91"/>
      <c r="C3" s="91"/>
      <c r="D3" s="91"/>
      <c r="E3" s="91"/>
      <c r="F3" s="91"/>
      <c r="G3" s="91"/>
    </row>
    <row r="4" ht="15" hidden="0" customHeight="1">
      <c r="A4" s="98" t="str">
        <v>Đối tượng</v>
      </c>
      <c r="B4" s="98" t="str">
        <v>Chỉ tiêu</v>
      </c>
      <c r="C4" s="98" t="str">
        <v>Thời điểm</v>
      </c>
      <c r="D4" s="98" t="str">
        <v>Căn cứ</v>
      </c>
      <c r="E4" s="98" t="str">
        <v>Số mẫu ngân sách</v>
      </c>
      <c r="F4" s="98" t="str">
        <v>Ngân sách</v>
      </c>
      <c r="G4" s="98" t="str">
        <v>Điều kiện phát hành</v>
      </c>
    </row>
    <row r="5" ht="19.200000762939453" hidden="0" customHeight="1">
      <c r="A5" s="102" t="str">
        <v>Đất</v>
      </c>
      <c r="B5" s="102" t="str">
        <v>Độ chua/kiềm, độ dẫn điện, hữu cơ, dinh dưỡng, kim loại nặng; dư lượng theo lịch sử</v>
      </c>
      <c r="C5" s="102" t="str">
        <v>Trước chuyển đổi hoặc trước vụ; tối thiểu hằng năm; ngay sau sự cố</v>
      </c>
      <c r="D5" s="102" t="str">
        <v>Quy chuẩn môi trường và đánh giá rủi ro</v>
      </c>
      <c r="E5" s="114" t="n">
        <v>1</v>
      </c>
      <c r="F5" s="115" t="n">
        <v>2000000</v>
      </c>
      <c r="G5" s="102" t="str">
        <v>Phòng thử nghiệm có năng lực; mã lô và giới hạn định lượng đầy đủ</v>
      </c>
    </row>
    <row r="6" ht="19.200000762939453" hidden="0" customHeight="1">
      <c r="A6" s="102" t="str">
        <v>Nước tưới</v>
      </c>
      <c r="B6" s="102" t="str">
        <v>Độ chua/kiềm, độ dẫn điện, nitrat, amoni, natri, clo, vi sinh, kim loại; thuốc bảo vệ thực vật nếu nguồn mặt có rủi ro</v>
      </c>
      <c r="C6" s="102" t="str">
        <v>Trước vụ; một lần mùa khô và một lần mùa mưa; ngay sau thay đổi nguồn hoặc sự cố</v>
      </c>
      <c r="D6" s="102" t="str">
        <v>Quy chuẩn nước mặt/nước dưới đất và yêu cầu khách hàng</v>
      </c>
      <c r="E6" s="114" t="n">
        <v>2</v>
      </c>
      <c r="F6" s="115" t="n">
        <v>4000000</v>
      </c>
      <c r="G6" s="102" t="str">
        <v>Phòng thử nghiệm có năng lực; mã lô và giới hạn định lượng đầy đủ</v>
      </c>
    </row>
    <row r="7" ht="19.200000762939453" hidden="0" customHeight="1">
      <c r="A7" s="102" t="str">
        <v>Compost/phân hữu cơ</v>
      </c>
      <c r="B7" s="102" t="str">
        <v>Độ ẩm, độ chua/kiềm, hữu cơ, dinh dưỡng, vi sinh gây bệnh, kim loại nặng và chỉ tiêu công bố</v>
      </c>
      <c r="C7" s="102" t="str">
        <v>Mỗi lô hoặc theo chương trình thẩm định nhà cung cấp được phê duyệt</v>
      </c>
      <c r="D7" s="102" t="str">
        <v>Quản lý phân bón, tiêu chuẩn hữu cơ và hồ sơ lô</v>
      </c>
      <c r="E7" s="114" t="n">
        <v>1</v>
      </c>
      <c r="F7" s="115" t="n">
        <v>2000000</v>
      </c>
      <c r="G7" s="102" t="str">
        <v>Phòng thử nghiệm có năng lực; mã lô và giới hạn định lượng đầy đủ</v>
      </c>
    </row>
    <row r="8" ht="19.200000762939453" hidden="0" customHeight="1">
      <c r="A8" s="102" t="str">
        <v>Quả ớt</v>
      </c>
      <c r="B8" s="102" t="str">
        <v>Sàng lọc đa dư lượng thuốc bảo vệ thực vật</v>
      </c>
      <c r="C8" s="102" t="str">
        <v>Lứa thương mại đầu; sau đó mỗi 30 ngày trong giai đoạn thu hoặc từng lô rủi ro cao</v>
      </c>
      <c r="D8" s="102" t="str">
        <v>Tần suất quản trị nội bộ; đối chiếu từng hoạt chất và thị trường</v>
      </c>
      <c r="E8" s="114" t="n">
        <v>2</v>
      </c>
      <c r="F8" s="115" t="n">
        <v>10000000</v>
      </c>
      <c r="G8" s="102" t="str">
        <v>Phòng thử nghiệm có năng lực; mã lô và giới hạn định lượng đầy đủ</v>
      </c>
    </row>
    <row r="9" ht="19.200000762939453" hidden="0" customHeight="1">
      <c r="A9" s="102" t="str">
        <v>Quả ớt</v>
      </c>
      <c r="B9" s="102" t="str">
        <v>Cadimi và chì</v>
      </c>
      <c r="C9" s="102" t="str">
        <v>Lứa thương mại đầu; lặp khi thay đổi đất/nước hoặc khách hàng yêu cầu</v>
      </c>
      <c r="D9" s="102" t="str">
        <v>QCVN 8-2:2011/BYT</v>
      </c>
      <c r="E9" s="114" t="n">
        <v>1</v>
      </c>
      <c r="F9" s="115" t="n">
        <v>4000000</v>
      </c>
      <c r="G9" s="102" t="str">
        <v>Phòng thử nghiệm có năng lực; mã lô và giới hạn định lượng đầy đủ</v>
      </c>
    </row>
    <row r="10" ht="15" hidden="0" customHeight="1">
      <c r="A10" s="102" t="str">
        <v>Quả ớt ăn trực tiếp</v>
      </c>
      <c r="B10" s="102" t="str">
        <v>Escherichia coli và Salmonella</v>
      </c>
      <c r="C10" s="102" t="str">
        <v>Lô xác nhận đầu; lặp theo đánh giá rủi ro và yêu cầu khách hàng</v>
      </c>
      <c r="D10" s="102" t="str">
        <v>QCVN 8-3:2012/BYT</v>
      </c>
      <c r="E10" s="114" t="n">
        <v>1</v>
      </c>
      <c r="F10" s="115" t="n">
        <v>5000000</v>
      </c>
      <c r="G10" s="102" t="str">
        <v>Phòng thử nghiệm có năng lực; mã lô và giới hạn định lượng đầy đủ</v>
      </c>
    </row>
    <row r="11" ht="15" hidden="0" customHeight="1">
      <c r="A11" s="102" t="str">
        <v>Nước rửa sau thu hoạch</v>
      </c>
      <c r="B11" s="102" t="str">
        <v>Chỉ tiêu nước sạch và vi sinh; kiểm soát chất khử khuẩn nếu dùng</v>
      </c>
      <c r="C11" s="102" t="str">
        <v>Trước vận hành và theo kế hoạch kiểm soát nước</v>
      </c>
      <c r="D11" s="102" t="str">
        <v>QCVN 01-1:2024/BYT và phê duyệt hữu cơ</v>
      </c>
      <c r="E11" s="114" t="n">
        <v>1</v>
      </c>
      <c r="F11" s="115" t="n">
        <v>4000000</v>
      </c>
      <c r="G11" s="102" t="str">
        <v>Phòng thử nghiệm có năng lực; mã lô và giới hạn định lượng đầy đủ</v>
      </c>
    </row>
    <row r="12" ht="15" hidden="0" customHeight="1">
      <c r="A12" s="122" t="str">
        <v>TỔNG</v>
      </c>
      <c r="B12" s="122" t="str">
        <v>Ngân sách kế hoạch kiểm nghiệm</v>
      </c>
      <c r="C12" s="122" t="str">
        <v>Theo tần suất khởi tạo</v>
      </c>
      <c r="D12" s="122" t="str">
        <v>Đối chiếu chi phí vận hành</v>
      </c>
      <c r="E12" s="122" t="n">
        <f>SUM(E5:E11)</f>
        <v>9</v>
      </c>
      <c r="F12" s="124" t="n">
        <f>SUM(F5:F11)</f>
        <v>31000000</v>
      </c>
      <c r="G12" s="122" t="str">
        <v>31 triệu đồng trước báo giá chính thức</v>
      </c>
    </row>
    <row r="13">
      <c r="A13" s="103" t="str">
        <v>Ngân sách trên là chỗ giữ chỗ, không phải báo giá. Kiểm nghiệm đa dư lượng có thể 10–45 triệu đồng/vụ tùy số hoạt chất, phương pháp, giới hạn định lượng và thị trường.</v>
      </c>
      <c r="B13" s="104"/>
      <c r="C13" s="104"/>
      <c r="D13" s="104"/>
      <c r="E13" s="104"/>
      <c r="F13" s="104"/>
      <c r="G13" s="105"/>
    </row>
    <row r="14">
      <c r="A14" s="106"/>
      <c r="B14" s="107"/>
      <c r="C14" s="107"/>
      <c r="D14" s="107"/>
      <c r="E14" s="107"/>
      <c r="F14" s="107"/>
      <c r="G14" s="108"/>
    </row>
    <row r="15">
      <c r="A15" s="109"/>
      <c r="B15" s="110"/>
      <c r="C15" s="110"/>
      <c r="D15" s="110"/>
      <c r="E15" s="110"/>
      <c r="F15" s="110"/>
      <c r="G15" s="111"/>
    </row>
  </sheetData>
  <sheetProtection password="B07A" sheet="1" objects="1" scenarios="1" formatCells="1" formatColumns="1" formatRows="1" insertColumns="1" insertRows="1" deleteColumns="1" deleteRows="1" selectLockedCells="0" selectUnlockedCells="0"/>
  <mergeCells>
    <mergeCell ref="A1:G1"/>
    <mergeCell ref="A2:G3"/>
    <mergeCell ref="A13:G15"/>
  </mergeCells>
  <pageMargins left="0.7" right="0.7" top="0.75" bottom="0.75" header="0.3" footer="0.3"/>
</worksheet>
</file>

<file path=xl/worksheets/sheet13.xml><?xml version="1.0" encoding="utf-8"?>
<worksheet xmlns="http://schemas.openxmlformats.org/spreadsheetml/2006/main">
  <sheetViews>
    <sheetView showGridLines="0" workbookViewId="0"/>
  </sheetViews>
  <sheetFormatPr defaultRowHeight="15"/>
  <cols>
    <col min="1" max="1" width="24" hidden="0" customWidth="1"/>
    <col min="2" max="2" width="17" hidden="0" customWidth="1"/>
    <col min="3" max="3" width="23" hidden="0" customWidth="1"/>
    <col min="4" max="4" width="15" hidden="0" customWidth="1"/>
    <col min="5" max="5" width="26" hidden="0" customWidth="1"/>
    <col min="6" max="6" width="16" hidden="0" customWidth="1"/>
    <col min="7" max="7" width="18" hidden="0" customWidth="1"/>
    <col min="8" max="8" width="31" hidden="0" customWidth="1"/>
    <col min="9" max="9" width="27" hidden="0" customWidth="1"/>
    <col min="10" max="10" width="38" hidden="0" customWidth="1"/>
  </cols>
  <sheetData>
    <row r="1" ht="42" hidden="0" customHeight="1">
      <c r="A1" s="147" t="str">
        <v>NHẬT KÝ MẪU ĐÃ ĐIỀN – KHÔNG PHẢI DỮ LIỆU THỰC TẾ</v>
      </c>
      <c r="B1" s="147"/>
      <c r="C1" s="147"/>
      <c r="D1" s="147"/>
      <c r="E1" s="147"/>
      <c r="F1" s="147"/>
      <c r="G1" s="147"/>
      <c r="H1" s="90"/>
      <c r="I1" s="90"/>
      <c r="J1" s="90"/>
    </row>
    <row r="2" ht="42" customHeight="1">
      <c r="A2" s="91" t="str">
        <v>Các dòng minh họa cách ghi đầy đủ. Khi dùng ngoài ruộng phải thay bằng dữ liệu thực đo; không xóa nhãn VÍ DỤ cho đến khi thay toàn bộ dòng.</v>
      </c>
      <c r="B2" s="91"/>
      <c r="C2" s="91"/>
      <c r="D2" s="91"/>
      <c r="E2" s="91"/>
      <c r="F2" s="91"/>
      <c r="G2" s="91"/>
      <c r="H2" s="91"/>
      <c r="I2" s="91"/>
      <c r="J2" s="91"/>
    </row>
    <row r="3">
      <c r="A3" s="91"/>
      <c r="B3" s="91"/>
      <c r="C3" s="91"/>
      <c r="D3" s="91"/>
      <c r="E3" s="91"/>
      <c r="F3" s="91"/>
      <c r="G3" s="91"/>
      <c r="H3" s="91"/>
      <c r="I3" s="91"/>
      <c r="J3" s="91"/>
    </row>
    <row r="4" ht="15" hidden="0" customHeight="1">
      <c r="A4" s="98" t="str">
        <v>Trạng thái</v>
      </c>
      <c r="B4" s="98" t="str">
        <v>Ngày minh họa</v>
      </c>
      <c r="C4" s="98" t="str">
        <v>Mã lô</v>
      </c>
      <c r="D4" s="98" t="str">
        <v>Khối</v>
      </c>
      <c r="E4" s="98" t="str">
        <v>Công việc</v>
      </c>
      <c r="F4" s="98" t="str">
        <v>Số đo</v>
      </c>
      <c r="G4" s="98" t="str">
        <v>Đơn vị</v>
      </c>
      <c r="H4" s="98" t="str">
        <v>Kết quả</v>
      </c>
      <c r="I4" s="98" t="str">
        <v>Người chịu trách nhiệm</v>
      </c>
      <c r="J4" s="98" t="str">
        <v>Hành động tiếp</v>
      </c>
    </row>
    <row r="5" ht="15" hidden="0" customHeight="1">
      <c r="A5" s="134" t="str">
        <v>VÍ DỤ MINH HỌA</v>
      </c>
      <c r="B5" s="102" t="str">
        <v>01/09/2026</v>
      </c>
      <c r="C5" s="102" t="str">
        <v>CP04-LOT-DEMO</v>
      </c>
      <c r="D5" s="102" t="str">
        <v>Vườn ươm</v>
      </c>
      <c r="E5" s="102" t="str">
        <v>Nhận hạt</v>
      </c>
      <c r="F5" s="102" t="n">
        <v>40</v>
      </c>
      <c r="G5" s="102" t="str">
        <v>gói</v>
      </c>
      <c r="H5" s="102" t="str">
        <v>Đủ ảnh hai mặt; lô chờ phê duyệt</v>
      </c>
      <c r="I5" s="102" t="str">
        <v>Quản lý vườn ươm</v>
      </c>
      <c r="J5" s="102" t="str">
        <v>Xin phiếu chất lượng và xác nhận xử lý hạt</v>
      </c>
    </row>
    <row r="6" ht="15" hidden="0" customHeight="1">
      <c r="A6" s="134" t="str">
        <v>VÍ DỤ MINH HỌA</v>
      </c>
      <c r="B6" s="102" t="str">
        <v>03/09/2026</v>
      </c>
      <c r="C6" s="102" t="str">
        <v>CP04-LOT-DEMO</v>
      </c>
      <c r="D6" s="102" t="str">
        <v>Vườn ươm</v>
      </c>
      <c r="E6" s="102" t="str">
        <v>Thử nảy mầm</v>
      </c>
      <c r="F6" s="102" t="n">
        <v>87</v>
      </c>
      <c r="G6" s="102" t="str">
        <v>%</v>
      </c>
      <c r="H6" s="102" t="str">
        <v>Đạt mục tiêu khởi tạo</v>
      </c>
      <c r="I6" s="102" t="str">
        <v>Phụ trách kỹ thuật</v>
      </c>
      <c r="J6" s="102" t="str">
        <v>Tiếp tục theo dõi cây bất thường</v>
      </c>
    </row>
    <row r="7" ht="15" hidden="0" customHeight="1">
      <c r="A7" s="134" t="str">
        <v>VÍ DỤ MINH HỌA</v>
      </c>
      <c r="B7" s="102" t="str">
        <v>10/09/2026</v>
      </c>
      <c r="C7" s="102" t="str">
        <v>CP04-LOT-DEMO</v>
      </c>
      <c r="D7" s="102" t="str">
        <v>Vườn ươm</v>
      </c>
      <c r="E7" s="102" t="str">
        <v>Mọc bình thường</v>
      </c>
      <c r="F7" s="102" t="n">
        <v>84</v>
      </c>
      <c r="G7" s="102" t="str">
        <v>%</v>
      </c>
      <c r="H7" s="102" t="str">
        <v>Dưới mục tiêu cây dùng được</v>
      </c>
      <c r="I7" s="102" t="str">
        <v>Quản lý vườn ươm</v>
      </c>
      <c r="J7" s="102" t="str">
        <v>Điều tra giá thể và tưới</v>
      </c>
    </row>
    <row r="8" ht="15" hidden="0" customHeight="1">
      <c r="A8" s="134" t="str">
        <v>VÍ DỤ MINH HỌA</v>
      </c>
      <c r="B8" s="102" t="str">
        <v>05/10/2026</v>
      </c>
      <c r="C8" s="102" t="str">
        <v>CP04-LOT-DEMO</v>
      </c>
      <c r="D8" s="102" t="str">
        <v>K1</v>
      </c>
      <c r="E8" s="102" t="str">
        <v>Trồng</v>
      </c>
      <c r="F8" s="102" t="n">
        <v>7500</v>
      </c>
      <c r="G8" s="102" t="str">
        <v>cây</v>
      </c>
      <c r="H8" s="102" t="str">
        <v>Hoàn thành theo bản đồ</v>
      </c>
      <c r="I8" s="102" t="str">
        <v>Quản lý vùng</v>
      </c>
      <c r="J8" s="102" t="str">
        <v>Đếm sống ngày 3</v>
      </c>
    </row>
    <row r="9" ht="15" hidden="0" customHeight="1">
      <c r="A9" s="134" t="str">
        <v>VÍ DỤ MINH HỌA</v>
      </c>
      <c r="B9" s="102" t="str">
        <v>12/10/2026</v>
      </c>
      <c r="C9" s="102" t="str">
        <v>CP04-LOT-DEMO</v>
      </c>
      <c r="D9" s="102" t="str">
        <v>K1</v>
      </c>
      <c r="E9" s="102" t="str">
        <v>Sống ngày 7</v>
      </c>
      <c r="F9" s="102" t="n">
        <v>94.2</v>
      </c>
      <c r="G9" s="102" t="str">
        <v>%</v>
      </c>
      <c r="H9" s="102" t="str">
        <v>Cần hành động khắc phục</v>
      </c>
      <c r="I9" s="102" t="str">
        <v>Phụ trách kỹ thuật</v>
      </c>
      <c r="J9" s="102" t="str">
        <v>Kiểm rễ, nước, thao tác và dặm</v>
      </c>
    </row>
    <row r="10" ht="15" hidden="0" customHeight="1">
      <c r="A10" s="134" t="str">
        <v>VÍ DỤ MINH HỌA</v>
      </c>
      <c r="B10" s="102" t="str">
        <v>19/10/2026</v>
      </c>
      <c r="C10" s="102" t="str">
        <v>CP04-LOT-DEMO</v>
      </c>
      <c r="D10" s="102" t="str">
        <v>K1</v>
      </c>
      <c r="E10" s="102" t="str">
        <v>Sống ngày 14</v>
      </c>
      <c r="F10" s="102" t="n">
        <v>96</v>
      </c>
      <c r="G10" s="102" t="str">
        <v>%</v>
      </c>
      <c r="H10" s="102" t="str">
        <v>Đạt sau dặm</v>
      </c>
      <c r="I10" s="102" t="str">
        <v>Kiểm soát chất lượng</v>
      </c>
      <c r="J10" s="102" t="str">
        <v>Đóng sai lệch khi có bằng chứng</v>
      </c>
    </row>
    <row r="11" ht="15" hidden="0" customHeight="1">
      <c r="A11" s="134" t="str">
        <v>VÍ DỤ MINH HỌA</v>
      </c>
      <c r="B11" s="102" t="str">
        <v>15/11/2026</v>
      </c>
      <c r="C11" s="102" t="str">
        <v>CP04-LOT-DEMO</v>
      </c>
      <c r="D11" s="102" t="str">
        <v>K1</v>
      </c>
      <c r="E11" s="102" t="str">
        <v>Đọc đồng hồ nước</v>
      </c>
      <c r="F11" s="102" t="n">
        <v>42</v>
      </c>
      <c r="G11" s="102" t="str">
        <v>m³/ngày</v>
      </c>
      <c r="H11" s="102" t="str">
        <v>Cần đối chiếu mưa/ẩm</v>
      </c>
      <c r="I11" s="102" t="str">
        <v>Quản lý tưới</v>
      </c>
      <c r="J11" s="102" t="str">
        <v>Ghi mưa hữu hiệu</v>
      </c>
    </row>
    <row r="12" ht="15" hidden="0" customHeight="1">
      <c r="A12" s="134" t="str">
        <v>VÍ DỤ MINH HỌA</v>
      </c>
      <c r="B12" s="102" t="str">
        <v>20/11/2026</v>
      </c>
      <c r="C12" s="102" t="str">
        <v>CP04-LOT-DEMO</v>
      </c>
      <c r="D12" s="102" t="str">
        <v>K1</v>
      </c>
      <c r="E12" s="102" t="str">
        <v>Điều tra 50 cây</v>
      </c>
      <c r="F12" s="102" t="n">
        <v>2</v>
      </c>
      <c r="G12" s="102" t="str">
        <v>% cây nghi bệnh</v>
      </c>
      <c r="H12" s="102" t="str">
        <v>Khoanh hai cây</v>
      </c>
      <c r="I12" s="102" t="str">
        <v>Phụ trách nông học</v>
      </c>
      <c r="J12" s="102" t="str">
        <v>Lấy mẫu; chưa dùng vật tư</v>
      </c>
    </row>
    <row r="13" ht="15" hidden="0" customHeight="1">
      <c r="A13" s="134" t="str">
        <v>VÍ DỤ MINH HỌA</v>
      </c>
      <c r="B13" s="102" t="str">
        <v>10/01/2027</v>
      </c>
      <c r="C13" s="102" t="str">
        <v>CP04-LOT-DEMO</v>
      </c>
      <c r="D13" s="102" t="str">
        <v>K1</v>
      </c>
      <c r="E13" s="102" t="str">
        <v>Mẫu 100 quả</v>
      </c>
      <c r="F13" s="102" t="n">
        <v>88</v>
      </c>
      <c r="G13" s="102" t="str">
        <v>% đạt</v>
      </c>
      <c r="H13" s="102" t="str">
        <v>Chưa đạt mục tiêu 90%</v>
      </c>
      <c r="I13" s="102" t="str">
        <v>Kiểm soát chất lượng</v>
      </c>
      <c r="J13" s="102" t="str">
        <v>Phân tích nguyên nhân loại</v>
      </c>
    </row>
    <row r="14" ht="19.200000762939453" hidden="0" customHeight="1">
      <c r="A14" s="134" t="str">
        <v>VÍ DỤ MINH HỌA</v>
      </c>
      <c r="B14" s="102" t="str">
        <v>31/03/2027</v>
      </c>
      <c r="C14" s="102" t="str">
        <v>CP04-LOT-DEMO</v>
      </c>
      <c r="D14" s="102" t="str">
        <v>Toàn vụ</v>
      </c>
      <c r="E14" s="102" t="str">
        <v>Chi phí vận hành/kg thương phẩm</v>
      </c>
      <c r="F14" s="101" t="n">
        <f>CHI_PHI_VU!G42/KICH_BAN!D6</f>
        <v>24487.458333333332</v>
      </c>
      <c r="G14" s="102" t="str">
        <v>đồng/kg</v>
      </c>
      <c r="H14" s="102" t="str">
        <v>Chưa gồm phân bổ bổ sung, quản trị, lãi, đất, thuế và bảo hiểm</v>
      </c>
      <c r="I14" s="102" t="str">
        <v>Tài chính</v>
      </c>
      <c r="J14" s="102" t="str">
        <v>Không mở rộng; đàm phán giá hoặc giảm chi phí có bằng chứng</v>
      </c>
    </row>
  </sheetData>
  <sheetProtection password="B07A" sheet="1" objects="1" scenarios="1" formatCells="1" formatColumns="1" formatRows="1" insertColumns="1" insertRows="1" deleteColumns="1" deleteRows="1" selectLockedCells="0" selectUnlockedCells="0"/>
  <mergeCells>
    <mergeCell ref="A1:J1"/>
    <mergeCell ref="A2:J3"/>
  </mergeCells>
  <pageMargins left="0.7" right="0.7" top="0.75" bottom="0.75" header="0.3" footer="0.3"/>
</worksheet>
</file>

<file path=xl/worksheets/sheet14.xml><?xml version="1.0" encoding="utf-8"?>
<worksheet xmlns="http://schemas.openxmlformats.org/spreadsheetml/2006/main">
  <sheetViews>
    <sheetView showGridLines="0" workbookViewId="0"/>
  </sheetViews>
  <sheetFormatPr defaultRowHeight="15"/>
  <cols>
    <col min="1" max="1" width="9" hidden="0" customWidth="1"/>
    <col min="2" max="2" width="40" hidden="0" customWidth="1"/>
    <col min="3" max="3" width="68" hidden="0" customWidth="1"/>
    <col min="4" max="4" width="43" hidden="0" customWidth="1"/>
    <col min="5" max="5" width="37" hidden="0" customWidth="1"/>
  </cols>
  <sheetData>
    <row r="1" ht="42" hidden="0" customHeight="1">
      <c r="A1" s="147" t="str">
        <v>SỔ NGUỒN – NỘI DUNG, GIÁ VÀ PHẠM VI SỬ DỤNG</v>
      </c>
      <c r="B1" s="147"/>
      <c r="C1" s="147"/>
      <c r="D1" s="147"/>
      <c r="E1" s="147"/>
      <c r="F1" s="149"/>
      <c r="G1" s="149"/>
    </row>
    <row r="2" ht="42" customHeight="1">
      <c r="A2" s="91" t="str">
        <v>Ngày rà soát: 27/08/2026. Kiểm lại pháp luật, giá, nhãn và quyền ảnh trước mỗi vụ/phát hành.</v>
      </c>
      <c r="B2" s="91"/>
      <c r="C2" s="91"/>
      <c r="D2" s="91"/>
      <c r="E2" s="91"/>
    </row>
    <row r="3">
      <c r="A3" s="91"/>
      <c r="B3" s="91"/>
      <c r="C3" s="91"/>
      <c r="D3" s="91"/>
      <c r="E3" s="91"/>
    </row>
    <row r="4" ht="15" hidden="0" customHeight="1">
      <c r="A4" s="98" t="str">
        <v>Số</v>
      </c>
      <c r="B4" s="98" t="str">
        <v>Nguồn</v>
      </c>
      <c r="C4" s="98" t="str">
        <v>Đường dẫn</v>
      </c>
      <c r="D4" s="98" t="str">
        <v>Phạm vi</v>
      </c>
      <c r="E4" s="98" t="str">
        <v>Mức tin cậy/giới hạn</v>
      </c>
    </row>
    <row r="5" ht="15" hidden="0" customHeight="1">
      <c r="A5" s="102" t="n">
        <v>1</v>
      </c>
      <c r="B5" s="102" t="str">
        <v>VAAS 2022 - Sổ tay hướng dẫn kỹ thuật trồng ớt cay</v>
      </c>
      <c r="C5" s="102" t="str">
        <v>https://vaas.vn/vi/library/sach/so-tay-huong-dan-ky-thuat-trong-ot-cay</v>
      </c>
      <c r="D5" s="102" t="str">
        <v>Sinh lý, vườn ươm, mật độ, đất, dinh dưỡng tham chiếu, chăm sóc và thu hoạch</v>
      </c>
      <c r="E5" s="102" t="str">
        <v>Nguồn chuyên môn/pháp lý; đọc giới hạn ở phạm vi</v>
      </c>
    </row>
    <row r="6" ht="15" hidden="0" customHeight="1">
      <c r="A6" s="102" t="n">
        <v>2</v>
      </c>
      <c r="B6" s="102" t="str">
        <v>Nhà cung cấp - Ớt hiểm Chánh Phong 04</v>
      </c>
      <c r="C6" s="102" t="str">
        <v>https://hatgiongchanhphong.vn/san-pham/ot-hiem-f1-so-04-5g-451/</v>
      </c>
      <c r="D6" s="102" t="str">
        <v>Thông tin nhãn và tuyên bố của nhà cung cấp; cần xác minh theo lô</v>
      </c>
      <c r="E6" s="102" t="str">
        <v>Nguồn chuyên môn/pháp lý; đọc giới hạn ở phạm vi</v>
      </c>
    </row>
    <row r="7" ht="15" hidden="0" customHeight="1">
      <c r="A7" s="102" t="n">
        <v>3</v>
      </c>
      <c r="B7" s="102" t="str">
        <v>VSQI - TCVN 11041-1:2017 Nông nghiệp hữu cơ, yêu cầu chung</v>
      </c>
      <c r="C7" s="102" t="str">
        <v>https://tieuchuan.vsqi.gov.vn/tieuchuan/view?sohieu=TCVN+11041-1%3A2017</v>
      </c>
      <c r="D7" s="102" t="str">
        <v>Yêu cầu chung, kiểm soát hồ sơ và truy xuất; tiêu chuẩn còn hiệu lực</v>
      </c>
      <c r="E7" s="102" t="str">
        <v>Nguồn chuyên môn/pháp lý; đọc giới hạn ở phạm vi</v>
      </c>
    </row>
    <row r="8" ht="15" hidden="0" customHeight="1">
      <c r="A8" s="102" t="n">
        <v>4</v>
      </c>
      <c r="B8" s="102" t="str">
        <v>VSQI - TCVN 11041-2:2017 Trồng trọt hữu cơ</v>
      </c>
      <c r="C8" s="102" t="str">
        <v>https://tieuchuan.vsqi.gov.vn/tieuchuan/view?sohieu=TCVN+11041-2%3A2017</v>
      </c>
      <c r="D8" s="102" t="str">
        <v>Chuyển đổi, đầu vào, vùng đệm và sản xuất cây trồng; áp dụng cùng Phần 1</v>
      </c>
      <c r="E8" s="102" t="str">
        <v>Nguồn chuyên môn/pháp lý; đọc giới hạn ở phạm vi</v>
      </c>
    </row>
    <row r="9" ht="15" hidden="0" customHeight="1">
      <c r="A9" s="102" t="n">
        <v>5</v>
      </c>
      <c r="B9" s="102" t="str">
        <v>Nghị định 109/2018/NĐ-CP</v>
      </c>
      <c r="C9" s="102" t="str">
        <v>https://vanban.chinhphu.vn/default.aspx?docid=194623&amp;pageid=27160</v>
      </c>
      <c r="D9" s="102" t="str">
        <v>Sản xuất, chứng nhận, ghi nhãn và truy xuất sản phẩm hữu cơ</v>
      </c>
      <c r="E9" s="102" t="str">
        <v>Nguồn chuyên môn/pháp lý; đọc giới hạn ở phạm vi</v>
      </c>
    </row>
    <row r="10" ht="19.200000762939453" hidden="0" customHeight="1">
      <c r="A10" s="102" t="n">
        <v>6</v>
      </c>
      <c r="B10" s="102" t="str">
        <v>Cục BVTV - Thông tư 75/2025/TT-BNNMT</v>
      </c>
      <c r="C10" s="102" t="str">
        <v>https://www.ppd.gov.vn/tin-moi-nhat-289/thong-tu-so-752025tt-bnnmt-ban-hanh-danh-muc-thuoc-bao-ve-thuc-vat-duoc-phep-su-dung-tai-viet-nam-va-danh-muc-thuoc-bao-ve-thuc-vat-cam-su-dung-tai-viet-nam.html</v>
      </c>
      <c r="D10" s="102" t="str">
        <v>Danh mục thuốc BVTV được phép/cấm hiện hành từ 10/02/2026</v>
      </c>
      <c r="E10" s="102" t="str">
        <v>Nguồn chuyên môn/pháp lý; đọc giới hạn ở phạm vi</v>
      </c>
    </row>
    <row r="11" ht="19.200000762939453" hidden="0" customHeight="1">
      <c r="A11" s="102" t="n">
        <v>7</v>
      </c>
      <c r="B11" s="102" t="str">
        <v>Cục BVTV - Thông tư 28/2026/TT-BNNMT</v>
      </c>
      <c r="C11" s="102" t="str">
        <v>https://ppd.gov.vn/van-ban-chinh-sach/thong-tu-282026tt-bnnmt-ngay-3062026-sua-doi--bo-sung-thong-tu-so-752025tt-bnnmt.html</v>
      </c>
      <c r="D11" s="102" t="str">
        <v>Sửa đổi danh mục thuốc BVTV năm 2026</v>
      </c>
      <c r="E11" s="102" t="str">
        <v>Nguồn chuyên môn/pháp lý; đọc giới hạn ở phạm vi</v>
      </c>
    </row>
    <row r="12" ht="15" hidden="0" customHeight="1">
      <c r="A12" s="102" t="n">
        <v>8</v>
      </c>
      <c r="B12" s="102" t="str">
        <v>FAO - Crop water needs: Pepper</v>
      </c>
      <c r="C12" s="102" t="str">
        <v>https://www.fao.org/4/s2022e/s2022e07.htm</v>
      </c>
      <c r="D12" s="102" t="str">
        <v>ETcrop = ETo x Kc; nhu cầu nước mùa vụ 600-900 mm chỉ là khoảng chỉ báo</v>
      </c>
      <c r="E12" s="102" t="str">
        <v>Nguồn chuyên môn/pháp lý; đọc giới hạn ở phạm vi</v>
      </c>
    </row>
    <row r="13" ht="19.200000762939453" hidden="0" customHeight="1">
      <c r="A13" s="102" t="n">
        <v>9</v>
      </c>
      <c r="B13" s="102" t="str">
        <v>World Vegetable Center - Hot pepper production guide</v>
      </c>
      <c r="C13" s="102" t="str">
        <v>https://worldveg.tind.io/record/39488?ln=en</v>
      </c>
      <c r="D13" s="102" t="str">
        <v>Tham chiếu thử xử lý hạt, nhiệt độ nảy mầm và kỹ thuật sản xuất; phải kiểm chứng tại B-FARM</v>
      </c>
      <c r="E13" s="102" t="str">
        <v>Nguồn chuyên môn/pháp lý; đọc giới hạn ở phạm vi</v>
      </c>
    </row>
    <row r="14" ht="19.200000762939453" hidden="0" customHeight="1">
      <c r="A14" s="102" t="n">
        <v>10</v>
      </c>
      <c r="B14" s="102" t="str">
        <v>World Vegetable Center - Hướng dẫn sau thu hoạch ớt tại Việt Nam</v>
      </c>
      <c r="C14" s="102" t="str">
        <v>https://worldveg.tind.io/record/37992?ln=en</v>
      </c>
      <c r="D14" s="102" t="str">
        <v>Thu hái, phân loại, làm mát và bảo quản; phải hiệu chỉnh theo giống, độ chín và yêu cầu bên mua</v>
      </c>
      <c r="E14" s="102" t="str">
        <v>Nguồn chuyên môn/pháp lý; đọc giới hạn ở phạm vi</v>
      </c>
    </row>
    <row r="15" ht="19.200000762939453" hidden="0" customHeight="1">
      <c r="A15" s="102" t="n">
        <v>11</v>
      </c>
      <c r="B15" s="102" t="str">
        <v>Khuyến nông Hà Nội - mô hình ớt liên kết tại Thạch Thất</v>
      </c>
      <c r="C15" s="102" t="str">
        <v>https://khuyennonghanoi.gov.vn/Pages/xa-thach-that-phat-trien-nong-nghiep-da-gia-tri-hieu-qua-cao.aspx</v>
      </c>
      <c r="D15" s="102" t="str">
        <v>Tham khảo bối cảnh địa phương; số liệu lợi nhuận do mô hình báo cáo, không phải kiểm toán</v>
      </c>
      <c r="E15" s="102" t="str">
        <v>Nguồn chuyên môn/pháp lý; đọc giới hạn ở phạm vi</v>
      </c>
    </row>
    <row r="16" ht="19.200000762939453" hidden="0" customHeight="1">
      <c r="A16" s="102" t="n">
        <v>12</v>
      </c>
      <c r="B16" s="102" t="str">
        <v>Khoa học và Công nghệ Quảng Ngãi - mô hình ớt VietGAP 1 ha</v>
      </c>
      <c r="C16" s="102" t="str">
        <v>https://skh.quangngai.gov.vn/danh-muc-cot-phai/de-tai-du-an-khcn/ket-qua-de-tai-du-an-khoa-hoc-va-cong-nghe-da-nghiem-thu-trong-nam-20252.html</v>
      </c>
      <c r="D16" s="102" t="str">
        <v>Tham khảo phạm vi năng suất/lợi nhuận của mô hình địa phương; không ngoại suy trực tiếp</v>
      </c>
      <c r="E16" s="102" t="str">
        <v>Nguồn chuyên môn/pháp lý; đọc giới hạn ở phạm vi</v>
      </c>
    </row>
    <row r="17" ht="15" hidden="0" customHeight="1">
      <c r="A17" s="102" t="n">
        <v>13</v>
      </c>
      <c r="B17" s="102" t="str">
        <v>AGROINFO - biến động giá ớt 2026</v>
      </c>
      <c r="C17" s="102" t="str">
        <v>https://agro.gov.vn/vn/tID35480_gia-ot-giam-hon-chuc-lan.html</v>
      </c>
      <c r="D17" s="102" t="str">
        <v>Rủi ro giá và phụ thuộc thị trường; cơ sở xây kịch bản bất lợi</v>
      </c>
      <c r="E17" s="102" t="str">
        <v>Nguồn chuyên môn/pháp lý; đọc giới hạn ở phạm vi</v>
      </c>
    </row>
    <row r="18" ht="15" hidden="0" customHeight="1">
      <c r="A18" s="102" t="n">
        <v>14</v>
      </c>
      <c r="B18" s="102" t="str">
        <v>UC Davis Postharvest - Chile Pepper</v>
      </c>
      <c r="C18" s="102" t="str">
        <v>https://postharvest.ucdavis.edu/produce-facts-sheets/chile-pepper</v>
      </c>
      <c r="D18" s="102" t="str">
        <v>Tham khảo điều kiện bảo quản sau thu hoạch; phải thử nghiệm riêng với CP04</v>
      </c>
      <c r="E18" s="102" t="str">
        <v>Nguồn chuyên môn/pháp lý; đọc giới hạn ở phạm vi</v>
      </c>
    </row>
    <row r="19" ht="15" hidden="0" customHeight="1">
      <c r="A19" s="102" t="n">
        <v>15</v>
      </c>
      <c r="B19" s="102" t="str">
        <v>Báo Vĩnh Long – chi phí công hái/vận chuyển 03/2026</v>
      </c>
      <c r="C19" s="102" t="str">
        <v>https://baovinhlong.com.vn/kinh-te/nong-nghiep/202603/gia-ot-giam-sau-nguoi-trong-kho-thu-hoi-von-dau-tu-5c51de6/</v>
      </c>
      <c r="D19" s="102" t="str">
        <v>Công hái 6.000 đồng/kg và vận chuyển 500 đồng/kg</v>
      </c>
      <c r="E19" s="102" t="str">
        <v>Quan sát địa phương; thay bằng báo giá</v>
      </c>
    </row>
    <row r="20" ht="15" hidden="0" customHeight="1">
      <c r="A20" s="102" t="n">
        <v>16</v>
      </c>
      <c r="B20" s="102" t="str">
        <v>VietnamPlus – giá ớt Quảng Ngãi 04/2026</v>
      </c>
      <c r="C20" s="102" t="str">
        <v>https://www.vietnamplus.vn/gia-ot-lao-doc-khien-nong-dan-quang-ngai-doi-mat-thua-lo-post1105332.vnp</v>
      </c>
      <c r="D20" s="102" t="str">
        <v>Giá stress 5.000–6.500 đồng/kg</v>
      </c>
      <c r="E20" s="102" t="str">
        <v>Nguồn báo chí chính thống; không riêng CP04</v>
      </c>
    </row>
    <row r="21" ht="19.200000762939453" hidden="0" customHeight="1">
      <c r="A21" s="102" t="n">
        <v>17</v>
      </c>
      <c r="B21" s="102" t="str">
        <v>Khuyến nông Quốc gia – mô hình Sơn La</v>
      </c>
      <c r="C21" s="102" t="str">
        <v>https://khuyennongvn.gov.vn/chuong-trinh-nganh-nong-nghiep/tai-co-cau-nganh-nong-nghiep/lien-ket-trong-ot-giup-nong-dan-phieng-cam-nang-cao-thu-nhap-31999.html</v>
      </c>
      <c r="D21" s="102" t="str">
        <v>20 tấn/ha; hợp đồng 14.000–15.000 đồng/kg</v>
      </c>
      <c r="E21" s="102" t="str">
        <v>Mô hình địa phương; không ngoại suy</v>
      </c>
    </row>
    <row r="22" ht="15" hidden="0" customHeight="1">
      <c r="A22" s="102" t="n">
        <v>18</v>
      </c>
      <c r="B22" s="102" t="str">
        <v>Nhỏ Giọt – màng phủ</v>
      </c>
      <c r="C22" s="102" t="str">
        <v>https://nhogiot.vn/san-pham/mang-phu-nong-nghiep-1-2m-x-400m/</v>
      </c>
      <c r="D22" s="102" t="str">
        <v>Giá niêm yết vật tư</v>
      </c>
      <c r="E22" s="102" t="str">
        <v>Chưa phải báo giá Đông Sơn</v>
      </c>
    </row>
    <row r="23" ht="15" hidden="0" customHeight="1">
      <c r="A23" s="102" t="n">
        <v>19</v>
      </c>
      <c r="B23" s="102" t="str">
        <v>Nhỏ Giọt – dây tưới</v>
      </c>
      <c r="C23" s="102" t="str">
        <v>https://nhogiot.vn/san-pham/day-tuoi-nho-giot-md-drip-0-2mm-10cm/</v>
      </c>
      <c r="D23" s="102" t="str">
        <v>Giá niêm yết vật tư</v>
      </c>
      <c r="E23" s="102" t="str">
        <v>Chưa phải báo giá Đông Sơn</v>
      </c>
    </row>
    <row r="24" ht="19.200000762939453" hidden="0" customHeight="1">
      <c r="A24" s="102" t="n">
        <v>20</v>
      </c>
      <c r="B24" s="102" t="str">
        <v>Cục Trồng trọt và Bảo vệ thực vật – phòng thử nghiệm</v>
      </c>
      <c r="C24" s="102" t="str">
        <v>https://www.ppd.gov.vn/danh-sach-phong-thu-nghiem/danh-sach-phong-thu-nghiem-nganh-nong-nghiep-va-ptnt-linh-vuc-chat-luong-va-du-luong-thuoc-bvtv.html</v>
      </c>
      <c r="D24" s="102" t="str">
        <v>Danh sách đơn vị có năng lực</v>
      </c>
      <c r="E24" s="102" t="str">
        <v>Phải kiểm phạm vi phép thử</v>
      </c>
    </row>
  </sheetData>
  <sheetProtection password="B07A" sheet="1" objects="1" scenarios="1" formatCells="1" formatColumns="1" formatRows="1" insertColumns="1" insertRows="1" deleteColumns="1" deleteRows="1" selectLockedCells="0" selectUnlockedCells="0"/>
  <mergeCells>
    <mergeCell ref="A1:E1"/>
    <mergeCell ref="A2:E3"/>
  </mergeCells>
  <pageMargins left="0.7" right="0.7" top="0.75" bottom="0.75" header="0.3" footer="0.3"/>
</worksheet>
</file>

<file path=xl/worksheets/sheet15.xml><?xml version="1.0" encoding="utf-8"?>
<worksheet xmlns="http://schemas.openxmlformats.org/spreadsheetml/2006/main">
  <sheetViews>
    <sheetView showGridLines="0" workbookViewId="0"/>
  </sheetViews>
  <sheetFormatPr defaultRowHeight="15"/>
  <cols>
    <col min="1" max="1" width="11" hidden="0" customWidth="1"/>
    <col min="2" max="2" width="42" hidden="0" customWidth="1"/>
    <col min="3" max="3" width="22" hidden="0" customWidth="1"/>
    <col min="4" max="4" width="22" hidden="0" customWidth="1"/>
    <col min="5" max="5" width="18" hidden="0" customWidth="1"/>
  </cols>
  <sheetData>
    <row r="1" ht="42" hidden="0" customHeight="1">
      <c r="A1" s="147" t="str">
        <v>KIỂM TRA TÍNH NHẤT QUÁN</v>
      </c>
      <c r="B1" s="147"/>
      <c r="C1" s="147"/>
      <c r="D1" s="147"/>
      <c r="E1" s="147"/>
      <c r="F1" s="149"/>
      <c r="G1" s="149"/>
    </row>
    <row r="2" ht="42" customHeight="1">
      <c r="A2" s="91" t="str">
        <v>ĐẠT chỉ chứng minh công thức khớp; không chứng minh giá, năng suất hoặc tư cách hữu cơ là đúng.</v>
      </c>
      <c r="B2" s="91"/>
      <c r="C2" s="91"/>
      <c r="D2" s="91"/>
      <c r="E2" s="91"/>
    </row>
    <row r="3">
      <c r="A3" s="91"/>
      <c r="B3" s="91"/>
      <c r="C3" s="91"/>
      <c r="D3" s="91"/>
      <c r="E3" s="91"/>
    </row>
    <row r="4" ht="15" hidden="0" customHeight="1">
      <c r="A4" s="98" t="str">
        <v>Mã</v>
      </c>
      <c r="B4" s="98" t="str">
        <v>Kiểm tra</v>
      </c>
      <c r="C4" s="98" t="str">
        <v>Giá trị</v>
      </c>
      <c r="D4" s="98" t="str">
        <v>Kỳ vọng</v>
      </c>
      <c r="E4" s="98" t="str">
        <v>Kết quả</v>
      </c>
    </row>
    <row r="5" ht="15" hidden="0" customHeight="1">
      <c r="A5" s="102" t="str">
        <v>K01</v>
      </c>
      <c r="B5" s="102" t="str">
        <v>Chi phí vận hành có phân bổ</v>
      </c>
      <c r="C5" s="132" t="n">
        <f>CHI_PHI_VU!G42</f>
        <v>440774250</v>
      </c>
      <c r="D5" s="131" t="n">
        <v>440774250</v>
      </c>
      <c r="E5" s="100" t="str">
        <f>IF(ABS(C5-D5)&lt;1,"ĐẠT","KHÔNG ĐẠT")</f>
        <v>ĐẠT</v>
      </c>
    </row>
    <row r="6" ht="15" hidden="0" customHeight="1">
      <c r="A6" s="102" t="str">
        <v>K02</v>
      </c>
      <c r="B6" s="102" t="str">
        <v>Tổng tài sản trang trại hiện hữu</v>
      </c>
      <c r="C6" s="132" t="n">
        <f>TAI_SAN!C16</f>
        <v>63040000</v>
      </c>
      <c r="D6" s="131" t="n">
        <v>63040000</v>
      </c>
      <c r="E6" s="100" t="str">
        <f>IF(ABS(C6-D6)&lt;1,"ĐẠT","KHÔNG ĐẠT")</f>
        <v>ĐẠT</v>
      </c>
    </row>
    <row r="7" ht="15" hidden="0" customHeight="1">
      <c r="A7" s="102" t="str">
        <v>K03</v>
      </c>
      <c r="B7" s="102" t="str">
        <v>Thương phẩm cơ sở</v>
      </c>
      <c r="C7" s="132" t="n">
        <f>KICH_BAN!D6</f>
        <v>18000</v>
      </c>
      <c r="D7" s="131" t="n">
        <v>18000</v>
      </c>
      <c r="E7" s="100" t="str">
        <f>IF(C7=D7,"ĐẠT","KHÔNG ĐẠT")</f>
        <v>ĐẠT</v>
      </c>
    </row>
    <row r="8" ht="15" hidden="0" customHeight="1">
      <c r="A8" s="102" t="str">
        <v>K04</v>
      </c>
      <c r="B8" s="102" t="str">
        <v>Doanh thu cơ sở</v>
      </c>
      <c r="C8" s="132" t="n">
        <f>KICH_BAN!K6</f>
        <v>264000000</v>
      </c>
      <c r="D8" s="131" t="n">
        <v>264000000</v>
      </c>
      <c r="E8" s="100" t="str">
        <f>IF(ABS(C8-D8)&lt;1000,"ĐẠT","KHÔNG ĐẠT")</f>
        <v>ĐẠT</v>
      </c>
    </row>
    <row r="9" ht="15" hidden="0" customHeight="1">
      <c r="A9" s="102" t="str">
        <v>K05</v>
      </c>
      <c r="B9" s="102" t="str">
        <v>Kết quả vận hành có phân bổ</v>
      </c>
      <c r="C9" s="132" t="n">
        <f>KICH_BAN!M6</f>
        <v>-176774250</v>
      </c>
      <c r="D9" s="131" t="n">
        <v>-176774250</v>
      </c>
      <c r="E9" s="100" t="str">
        <f>IF(ABS(C9-D9)&lt;1,"ĐẠT","KHÔNG ĐẠT")</f>
        <v>ĐẠT</v>
      </c>
    </row>
    <row r="10" ht="15" hidden="0" customHeight="1">
      <c r="A10" s="102" t="str">
        <v>K06</v>
      </c>
      <c r="B10" s="102" t="str">
        <v>Chi phí vận hành tiền mặt</v>
      </c>
      <c r="C10" s="132" t="n">
        <f>DONG_TIEN!B16</f>
        <v>436663500</v>
      </c>
      <c r="D10" s="131" t="n">
        <v>436663500</v>
      </c>
      <c r="E10" s="100" t="str">
        <f>IF(ABS(C10-D10)&lt;1,"ĐẠT","KHÔNG ĐẠT")</f>
        <v>ĐẠT</v>
      </c>
    </row>
    <row r="11" ht="15" hidden="0" customHeight="1">
      <c r="A11" s="102" t="str">
        <v>K07</v>
      </c>
      <c r="B11" s="102" t="str">
        <v>Tỷ trọng tiền về</v>
      </c>
      <c r="C11" s="132" t="n">
        <f>DONG_TIEN!C16</f>
        <v>1</v>
      </c>
      <c r="D11" s="131" t="n">
        <v>1</v>
      </c>
      <c r="E11" s="100" t="str">
        <f>IF(ABS(C11-D11)&lt;0.0001,"ĐẠT","KHÔNG ĐẠT")</f>
        <v>ĐẠT</v>
      </c>
    </row>
    <row r="12" ht="15" hidden="0" customHeight="1">
      <c r="A12" s="102" t="str">
        <v>K08</v>
      </c>
      <c r="B12" s="102" t="str">
        <v>Vốn lưu động đỉnh – lịch trung tâm</v>
      </c>
      <c r="C12" s="132" t="n">
        <f>DONG_TIEN!G16</f>
        <v>318696000</v>
      </c>
      <c r="D12" s="131" t="n">
        <v>318696000</v>
      </c>
      <c r="E12" s="100" t="str">
        <f>IF(ABS(C12-D12)&lt;1,"ĐẠT","KHÔNG ĐẠT")</f>
        <v>ĐẠT</v>
      </c>
    </row>
    <row r="13" ht="15" hidden="0" customHeight="1">
      <c r="A13" s="102" t="str">
        <v>K09</v>
      </c>
      <c r="B13" s="102" t="str">
        <v>Thanh khoản khởi động trung tâm</v>
      </c>
      <c r="C13" s="132" t="n">
        <f>NGUONG_DAU_TU!C25</f>
        <v>416736000</v>
      </c>
      <c r="D13" s="131" t="n">
        <v>416736000</v>
      </c>
      <c r="E13" s="100" t="str">
        <f>IF(ABS(C13-D13)&lt;1,"ĐẠT","KHÔNG ĐẠT")</f>
        <v>ĐẠT</v>
      </c>
    </row>
    <row r="14" ht="15" hidden="0" customHeight="1">
      <c r="A14" s="102" t="str">
        <v>K10</v>
      </c>
      <c r="B14" s="102" t="str">
        <v>Phân bổ/khấu hao đúng một vụ</v>
      </c>
      <c r="C14" s="132" t="n">
        <f>TAI_SAN!E16</f>
        <v>16658333.333333332</v>
      </c>
      <c r="D14" s="131" t="n">
        <v>16658333.3333333</v>
      </c>
      <c r="E14" s="100" t="str">
        <f>IF(ABS(C14-D14)&lt;1,"ĐẠT","KHÔNG ĐẠT")</f>
        <v>ĐẠT</v>
      </c>
    </row>
    <row r="15" ht="15" hidden="0" customHeight="1">
      <c r="A15" s="102" t="str">
        <v>K11</v>
      </c>
      <c r="B15" s="102" t="str">
        <v>Chi phí kế toán vụ trước quản trị</v>
      </c>
      <c r="C15" s="132" t="n">
        <f>NGUONG_DAU_TU!C12</f>
        <v>453321833.3333333</v>
      </c>
      <c r="D15" s="131" t="n">
        <v>453321833.3333333</v>
      </c>
      <c r="E15" s="100" t="str">
        <f>IF(ABS(C15-D15)&lt;1,"ĐẠT","KHÔNG ĐẠT")</f>
        <v>ĐẠT</v>
      </c>
    </row>
    <row r="16" ht="15" hidden="0" customHeight="1">
      <c r="A16" s="102" t="str">
        <v>K12</v>
      </c>
      <c r="B16" s="102" t="str">
        <v>Chi phí sau quản trị</v>
      </c>
      <c r="C16" s="132" t="n">
        <f>NGUONG_DAU_TU!C14</f>
        <v>477321833.3333333</v>
      </c>
      <c r="D16" s="131" t="n">
        <v>477321833.3333333</v>
      </c>
      <c r="E16" s="100" t="str">
        <f>IF(ABS(C16-D16)&lt;1,"ĐẠT","KHÔNG ĐẠT")</f>
        <v>ĐẠT</v>
      </c>
    </row>
    <row r="17" ht="15" hidden="0" customHeight="1">
      <c r="A17" s="102" t="str">
        <v>K13</v>
      </c>
      <c r="B17" s="102" t="str">
        <v>Chi phí sau lãi minh họa</v>
      </c>
      <c r="C17" s="132" t="n">
        <f>NGUONG_DAU_TU!C16</f>
        <v>487001833.3333333</v>
      </c>
      <c r="D17" s="131" t="n">
        <v>487001833.3333333</v>
      </c>
      <c r="E17" s="100" t="str">
        <f>IF(ABS(C17-D17)&lt;1,"ĐẠT","KHÔNG ĐẠT")</f>
        <v>ĐẠT</v>
      </c>
    </row>
    <row r="18" ht="15" hidden="0" customHeight="1">
      <c r="A18" s="102" t="str">
        <v>K14</v>
      </c>
      <c r="B18" s="102" t="str">
        <v>Ngân sách kiểm nghiệm</v>
      </c>
      <c r="C18" s="132" t="n">
        <f>KIEM_NGHIEM!F12</f>
        <v>31000000</v>
      </c>
      <c r="D18" s="131" t="n">
        <v>31000000</v>
      </c>
      <c r="E18" s="100" t="str">
        <f>IF(ABS(C18-D18)&lt;1,"ĐẠT","KHÔNG ĐẠT")</f>
        <v>ĐẠT</v>
      </c>
    </row>
    <row r="19" ht="15" hidden="0" customHeight="1">
      <c r="A19" s="102" t="str">
        <v>K15</v>
      </c>
      <c r="B19" s="102" t="str">
        <v>Khay phân bổ trong vụ</v>
      </c>
      <c r="C19" s="132" t="n">
        <f>CHI_PHI_VU!D6</f>
        <v>355</v>
      </c>
      <c r="D19" s="131" t="n">
        <v>355</v>
      </c>
      <c r="E19" s="100" t="str">
        <f>IF(C19=D19,"ĐẠT","KHÔNG ĐẠT")</f>
        <v>ĐẠT</v>
      </c>
    </row>
    <row r="20" ht="15" hidden="0" customHeight="1">
      <c r="A20" s="102" t="str">
        <v>K16</v>
      </c>
      <c r="B20" s="102" t="str">
        <v>Lịch chi tiền khớp chi phí tiền mặt</v>
      </c>
      <c r="C20" s="132" t="n">
        <f>DONG_TIEN!B16-NGUONG_DAU_TU!C10</f>
        <v>0</v>
      </c>
      <c r="D20" s="131" t="n">
        <v>0</v>
      </c>
      <c r="E20" s="100" t="str">
        <f>IF(ABS(C20-D20)&lt;1,"ĐẠT","KHÔNG ĐẠT")</f>
        <v>ĐẠT</v>
      </c>
    </row>
    <row r="21" ht="15" hidden="0" customHeight="1">
      <c r="A21" s="102" t="str">
        <v>K17</v>
      </c>
      <c r="B21" s="102" t="str">
        <v>Giá trị hiện tại ròng tại 24.000</v>
      </c>
      <c r="C21" s="132" t="n">
        <f>NGUONG_DAU_TU!B37</f>
        <v>-259651971.58802417</v>
      </c>
      <c r="D21" s="131" t="n">
        <v>-259651972</v>
      </c>
      <c r="E21" s="100" t="str">
        <f>IF(ABS(C21-D21)&lt;5000,"ĐẠT","KHÔNG ĐẠT")</f>
        <v>ĐẠT</v>
      </c>
    </row>
    <row r="22" ht="15" hidden="0" customHeight="1">
      <c r="A22" s="102" t="str">
        <v>K18</v>
      </c>
      <c r="B22" s="102" t="str">
        <v>Giá làm giá trị hiện tại ròng bằng 0</v>
      </c>
      <c r="C22" s="132" t="n">
        <f>NGUONG_DAU_TU!B50</f>
        <v>28002</v>
      </c>
      <c r="D22" s="131" t="n">
        <v>28002</v>
      </c>
      <c r="E22" s="100" t="str">
        <f>IF(ABS(C22-D22)&lt;1,"ĐẠT","KHÔNG ĐẠT")</f>
        <v>ĐẠT</v>
      </c>
    </row>
    <row r="23" ht="15" hidden="0" customHeight="1">
      <c r="A23" s="102" t="str">
        <v>K19</v>
      </c>
      <c r="B23" s="102" t="str">
        <v>Không hiển thị tỷ suất hoàn vốn nội bộ (IRR) dương khi IRR âm</v>
      </c>
      <c r="C23" s="132" t="n">
        <f>IF(NGUONG_DAU_TU!D37="Không có IRR dương",1,0)</f>
        <v>1</v>
      </c>
      <c r="D23" s="131" t="n">
        <v>1</v>
      </c>
      <c r="E23" s="100" t="str">
        <f>IF(C23=D23,"ĐẠT","KHÔNG ĐẠT")</f>
        <v>ĐẠT</v>
      </c>
    </row>
    <row r="24" ht="15" hidden="0" customHeight="1">
      <c r="A24" s="113"/>
      <c r="B24" s="113"/>
      <c r="C24" s="113"/>
      <c r="D24" s="113"/>
      <c r="E24" s="113"/>
    </row>
    <row r="25" ht="15" hidden="0" customHeight="1">
      <c r="A25" s="113"/>
      <c r="B25" s="113"/>
      <c r="C25" s="113"/>
      <c r="D25" s="113"/>
      <c r="E25" s="113"/>
    </row>
    <row r="26">
      <c r="A26" s="103" t="str">
        <v>Trạng thái đầu tư vẫn là CHƯA PHÊ DUYỆT. ĐẠT chỉ kiểm tra số học và liên kết; lịch thanh toán, giá, thuế, cước, bảo hiểm và đất vẫn phải được thay bằng chứng từ thực tế.</v>
      </c>
      <c r="B26" s="104"/>
      <c r="C26" s="104"/>
      <c r="D26" s="104"/>
      <c r="E26" s="105"/>
    </row>
    <row r="27">
      <c r="A27" s="106"/>
      <c r="B27" s="107"/>
      <c r="C27" s="107"/>
      <c r="D27" s="107"/>
      <c r="E27" s="108"/>
    </row>
    <row r="28">
      <c r="A28" s="109"/>
      <c r="B28" s="110"/>
      <c r="C28" s="110"/>
      <c r="D28" s="110"/>
      <c r="E28" s="111"/>
    </row>
  </sheetData>
  <sheetProtection password="B07A" sheet="1" objects="1" scenarios="1" formatCells="1" formatColumns="1" formatRows="1" insertColumns="1" insertRows="1" deleteColumns="1" deleteRows="1" selectLockedCells="0" selectUnlockedCells="0"/>
  <mergeCells>
    <mergeCell ref="A1:E1"/>
    <mergeCell ref="A2:E3"/>
    <mergeCell ref="A26:E28"/>
  </mergeCells>
  <pageMargins left="0.7" right="0.7" top="0.75" bottom="0.75" header="0.3" footer="0.3"/>
</worksheet>
</file>

<file path=xl/worksheets/sheet16.xml><?xml version="1.0" encoding="utf-8"?>
<worksheet xmlns="http://schemas.openxmlformats.org/spreadsheetml/2006/main">
  <sheetPr>
    <pageSetUpPr fitToPage="1"/>
  </sheetPr>
  <sheetViews>
    <sheetView showGridLines="0" workbookViewId="0"/>
  </sheetViews>
  <sheetFormatPr defaultRowHeight="15"/>
  <cols>
    <col min="1" max="1" width="47" hidden="0" customWidth="1"/>
    <col min="2" max="2" width="24" hidden="0" customWidth="1"/>
    <col min="3" max="3" width="24" hidden="0" customWidth="1"/>
    <col min="4" max="4" width="65" hidden="0" customWidth="1"/>
  </cols>
  <sheetData>
    <row r="1" ht="40" customHeight="1">
      <c r="A1" s="139" t="str">
        <v>ĐÔNG SƠN | BẢN CẬP NHẬT Rev.E · 05.09.2026</v>
      </c>
      <c r="B1" s="139" t="str">
        <v>ĐÔNG SƠN | BẢN CẬP NHẬT Rev.E · 05.09.2026</v>
      </c>
      <c r="C1" s="139" t="str">
        <v>ĐÔNG SƠN | BẢN CẬP NHẬT Rev.E · 05.09.2026</v>
      </c>
      <c r="D1" s="139" t="str">
        <v>ĐÔNG SƠN | BẢN CẬP NHẬT Rev.E · 05.09.2026</v>
      </c>
    </row>
    <row r="2" ht="62" customHeight="1">
      <c r="A2" s="141" t="str">
        <v>Đọc trang này trước. Đây là phép tính bổ sung cho cơ sở Rev.D, không phải kết quả ruộng hay lời hứa lợi nhuận. Mọi số tiền tính bằng đồng Việt Nam, quy mô 01 ha trồng thuần.</v>
      </c>
      <c r="B2" s="141" t="str">
        <v>Đọc trang này trước. Đây là phép tính bổ sung cho cơ sở Rev.D, không phải kết quả ruộng hay lời hứa lợi nhuận. Mọi số tiền tính bằng đồng Việt Nam, quy mô 01 ha trồng thuần.</v>
      </c>
      <c r="C2" s="141" t="str">
        <v>Đọc trang này trước. Đây là phép tính bổ sung cho cơ sở Rev.D, không phải kết quả ruộng hay lời hứa lợi nhuận. Mọi số tiền tính bằng đồng Việt Nam, quy mô 01 ha trồng thuần.</v>
      </c>
      <c r="D2" s="141" t="str">
        <v>Đọc trang này trước. Đây là phép tính bổ sung cho cơ sở Rev.D, không phải kết quả ruộng hay lời hứa lợi nhuận. Mọi số tiền tính bằng đồng Việt Nam, quy mô 01 ha trồng thuần.</v>
      </c>
    </row>
    <row r="3" ht="32" customHeight="1">
      <c r="A3" s="137"/>
      <c r="B3" s="137"/>
      <c r="C3" s="137"/>
      <c r="D3" s="137"/>
    </row>
    <row r="4" ht="34" customHeight="1">
      <c r="A4" s="142" t="str">
        <v>Chỉ tiêu</v>
      </c>
      <c r="B4" s="142" t="str">
        <v>Giá trị</v>
      </c>
      <c r="C4" s="142" t="str">
        <v>Đơn vị</v>
      </c>
      <c r="D4" s="142" t="str">
        <v>Cách hiểu / nguồn</v>
      </c>
    </row>
    <row r="5" ht="32" customHeight="1">
      <c r="A5" s="137" t="str">
        <v>Một công quy đổi</v>
      </c>
      <c r="B5" s="143" t="n">
        <v>8</v>
      </c>
      <c r="C5" s="137" t="str">
        <v>giờ</v>
      </c>
      <c r="D5" s="137" t="str">
        <v>Giả định phục vụ quy đổi, không phải quy định ca làm việc. Chấm công thực tế kể cả lao động gia đình.</v>
      </c>
    </row>
    <row r="6" ht="32" customHeight="1">
      <c r="A6" s="137" t="str">
        <v>Giá chính của kịch bản tham chiếu</v>
      </c>
      <c r="B6" s="144" t="n">
        <f>GIA_DINH!D31</f>
        <v>14500</v>
      </c>
      <c r="C6" s="137" t="str">
        <v>đồng/kg</v>
      </c>
      <c r="D6" s="137" t="str">
        <v>Liên kết GIA_DINH; giữ nguyên nguồn lịch sử, không phải giá hiện tại.</v>
      </c>
    </row>
    <row r="7" ht="32" customHeight="1">
      <c r="A7" s="137" t="str">
        <v>Sản lượng thương phẩm tham chiếu</v>
      </c>
      <c r="B7" s="144" t="n">
        <f>KICH_BAN!D6</f>
        <v>18000</v>
      </c>
      <c r="C7" s="137" t="str">
        <v>kg/vụ</v>
      </c>
      <c r="D7" s="137" t="str">
        <v>Liên kết KICH_BAN, không cộng thêm năng suất do biện pháp mới khi chưa đo.</v>
      </c>
    </row>
    <row r="8" ht="32" customHeight="1">
      <c r="A8" s="137" t="str">
        <v>Doanh thu tham chiếu</v>
      </c>
      <c r="B8" s="144" t="n">
        <f>KICH_BAN!K6</f>
        <v>264000000</v>
      </c>
      <c r="C8" s="137" t="str">
        <v>đồng/vụ</v>
      </c>
      <c r="D8" s="137" t="str">
        <v>Gồm hàng chính và hàng loại đủ điều kiện bán trong mô hình gốc.</v>
      </c>
    </row>
    <row r="9" ht="32" customHeight="1">
      <c r="A9" s="137" t="str">
        <v>Chi phí vận hành cơ sở Rev.D</v>
      </c>
      <c r="B9" s="144" t="n">
        <f>CHI_PHI_VU!G42</f>
        <v>440774250</v>
      </c>
      <c r="C9" s="137" t="str">
        <v>đồng/vụ</v>
      </c>
      <c r="D9" s="137" t="str">
        <v>Chi phí có phân bổ và dự phòng của mô hình gốc.</v>
      </c>
    </row>
    <row r="10" ht="32" customHeight="1">
      <c r="A10" s="137" t="str">
        <v>Chi phí thêm trước dự phòng</v>
      </c>
      <c r="B10" s="144" t="n">
        <f>MUA_CONG!H19</f>
        <v>15400000</v>
      </c>
      <c r="C10" s="137" t="str">
        <v>đồng/vụ</v>
      </c>
      <c r="D10" s="137" t="str">
        <v>MUA_CONG: chỉ cộng phần chưa có trong cơ sở.</v>
      </c>
    </row>
    <row r="11" ht="32" customHeight="1">
      <c r="A11" s="137" t="str">
        <v>Dự phòng bổ sung</v>
      </c>
      <c r="B11" s="144" t="n">
        <f>MUA_CONG!H20</f>
        <v>770000</v>
      </c>
      <c r="C11" s="137" t="str">
        <v>đồng/vụ</v>
      </c>
      <c r="D11" s="137" t="str">
        <v>5% theo tỷ lệ GIA_DINH. Không phải tổn thất năng suất.</v>
      </c>
    </row>
    <row r="12" ht="48" customHeight="1">
      <c r="A12" s="137" t="str">
        <v>Tổng vận hành sau cập nhật</v>
      </c>
      <c r="B12" s="144" t="n">
        <f>SUM(B9:B11)</f>
        <v>456944250</v>
      </c>
      <c r="C12" s="137" t="str">
        <v>đồng/vụ</v>
      </c>
      <c r="D12" s="137" t="str">
        <v>Cơ sở + phát sinh + dự phòng bổ sung.</v>
      </c>
    </row>
    <row r="13" ht="48" customHeight="1">
      <c r="A13" s="137" t="str">
        <v>Kết quả vận hành sau cập nhật</v>
      </c>
      <c r="B13" s="144" t="n">
        <f>B8-B12</f>
        <v>-192944250</v>
      </c>
      <c r="C13" s="137" t="str">
        <v>đồng/vụ</v>
      </c>
      <c r="D13" s="137" t="str">
        <v>Doanh thu giữ nguyên – chi phí mới; vẫn trước đất, thuế và các khoản chưa xác định.</v>
      </c>
    </row>
    <row r="14" ht="48" customHeight="1">
      <c r="A14" s="137" t="str">
        <v>Giá hòa vốn vận hành mới</v>
      </c>
      <c r="B14" s="144" t="n">
        <f>(B12-KICH_BAN!J6)/B7</f>
        <v>25219.125</v>
      </c>
      <c r="C14" s="137" t="str">
        <v>đồng/kg</v>
      </c>
      <c r="D14" s="137" t="str">
        <v>Trừ doanh thu hàng loại rồi chia sản lượng hàng chính; phép thử tĩnh.</v>
      </c>
    </row>
    <row r="15" ht="48" customHeight="1">
      <c r="A15" s="137" t="str">
        <v>Chi phí kế toán sau lãi minh họa</v>
      </c>
      <c r="B15" s="144" t="n">
        <f>KICH_BAN!O6+MUA_CONG!H21</f>
        <v>503171833.3333333</v>
      </c>
      <c r="C15" s="137" t="str">
        <v>đồng/vụ</v>
      </c>
      <c r="D15" s="137" t="str">
        <v>Giữ nguyên lãi vay minh họa của Rev.D; không phải yêu cầu Đông Sơn phải vay.</v>
      </c>
    </row>
    <row r="16" ht="48" customHeight="1">
      <c r="A16" s="137" t="str">
        <v>Kết quả kế toán sau lãi minh họa</v>
      </c>
      <c r="B16" s="144" t="n">
        <f>B8-B15</f>
        <v>-239171833.3333333</v>
      </c>
      <c r="C16" s="137" t="str">
        <v>đồng/vụ</v>
      </c>
      <c r="D16" s="137" t="str">
        <v>Vẫn chưa phải lợi nhuận sau thuế; chưa gộp đất/thuế/bảo hiểm chưa xác nhận.</v>
      </c>
    </row>
    <row r="17" ht="48" customHeight="1">
      <c r="A17" s="137" t="str">
        <v>Giá hòa vốn sau lãi minh họa</v>
      </c>
      <c r="B17" s="144" t="n">
        <f>(B15-KICH_BAN!J6)/B7</f>
        <v>27787.324074074073</v>
      </c>
      <c r="C17" s="137" t="str">
        <v>đồng/kg</v>
      </c>
      <c r="D17" s="137" t="str">
        <v>Không dùng làm giá chào bán hoặc bao tiêu.</v>
      </c>
    </row>
    <row r="18" ht="32" customHeight="1">
      <c r="A18" s="137" t="str">
        <v>Nguồn bố trí thận trọng có phần bổ sung</v>
      </c>
      <c r="B18" s="144" t="n">
        <f>TOM_TAT!B18+MUA_CONG!H21</f>
        <v>442245000</v>
      </c>
      <c r="C18" s="137" t="str">
        <v>đồng</v>
      </c>
      <c r="D18" s="137" t="str">
        <v>Cộng toàn bộ ngân sách thêm vào mức cũ để kiểm sức chịu đựng; KHÔNG phải vốn lưu động đỉnh đã tính theo tháng.</v>
      </c>
    </row>
    <row r="19" ht="32" customHeight="1">
      <c r="A19" s="137" t="str">
        <v>Tổng giờ lao động bổ sung</v>
      </c>
      <c r="B19" s="144" t="n">
        <f>SUM(MUA_CONG!C7:C11)</f>
        <v>312</v>
      </c>
      <c r="C19" s="137" t="str">
        <v>giờ/vụ</v>
      </c>
      <c r="D19" s="137" t="str">
        <v>Gồm cắt cỏ, bảo trì rãnh, ghi mưa, kiểm sau mưa, thu hồi; tránh tính cùng giờ hai nhiệm vụ.</v>
      </c>
    </row>
    <row r="20" ht="32" customHeight="1">
      <c r="A20" s="137" t="str">
        <v>Công lao động bổ sung quy đổi</v>
      </c>
      <c r="B20" s="144" t="n">
        <f>B19/B5</f>
        <v>39</v>
      </c>
      <c r="C20" s="137" t="str">
        <v>công/vụ</v>
      </c>
      <c r="D20" s="137" t="str">
        <v>Chia tổng giờ bổ sung cho số giờ/công ở đầu trang.</v>
      </c>
    </row>
    <row r="21" ht="32" customHeight="1">
      <c r="A21" s="137"/>
      <c r="B21" s="137"/>
      <c r="C21" s="137"/>
      <c r="D21" s="137"/>
    </row>
    <row r="22" ht="32" customHeight="1">
      <c r="A22" s="137"/>
      <c r="B22" s="137"/>
      <c r="C22" s="137"/>
      <c r="D22" s="137"/>
    </row>
    <row r="23" ht="34" customHeight="1">
      <c r="A23" s="142" t="str">
        <v>Kiểm tra</v>
      </c>
      <c r="B23" s="142" t="str">
        <v>Giá trị</v>
      </c>
      <c r="C23" s="142" t="str">
        <v>Kết luận</v>
      </c>
      <c r="D23" s="142" t="str">
        <v>Phạm vi</v>
      </c>
    </row>
    <row r="24" ht="32" customHeight="1">
      <c r="A24" s="137" t="str">
        <v>Cộng đúng chi phí</v>
      </c>
      <c r="B24" s="137" t="n">
        <f>B12-B9-MUA_CONG!H21</f>
        <v>0</v>
      </c>
      <c r="C24" s="137" t="str">
        <f>IF(ABS(B24)&lt;1,"ĐẠT","LỖI")</f>
        <v>ĐẠT</v>
      </c>
      <c r="D24" s="137" t="str">
        <v>Phải bằng 0, không kiểm chứng đơn giá.</v>
      </c>
    </row>
    <row r="25" ht="32" customHeight="1">
      <c r="A25" s="137" t="str">
        <v>Dự phòng không tính hai lần</v>
      </c>
      <c r="B25" s="137" t="n">
        <f>B11-MUA_CONG!H19*GIA_DINH!D17</f>
        <v>0</v>
      </c>
      <c r="C25" s="137" t="str">
        <f>IF(ABS(B25)&lt;1,"ĐẠT","LỖI")</f>
        <v>ĐẠT</v>
      </c>
      <c r="D25" s="137" t="str">
        <v>Chỉ dự phòng trên phần phát sinh.</v>
      </c>
    </row>
    <row r="26" ht="32" customHeight="1">
      <c r="A26" s="137" t="str">
        <v>Mọi khoản khấu trừ không vượt tổng</v>
      </c>
      <c r="B26" s="137" t="n">
        <f>MIN(MUA_CONG!H7:H18)</f>
        <v>0</v>
      </c>
      <c r="C26" s="137" t="str">
        <f>IF(B26&gt;=0,"ĐẠT","LỖI")</f>
        <v>ĐẠT</v>
      </c>
      <c r="D26" s="137" t="str">
        <v>Cột G không lớn hơn F trên từng dòng MUA_CONG.</v>
      </c>
    </row>
    <row r="27" ht="32" customHeight="1">
      <c r="A27" s="137" t="str">
        <v>Giữ nguyên trạng thái đầu tư</v>
      </c>
      <c r="B27" s="137" t="str">
        <v>CHƯA PHÊ DUYỆT</v>
      </c>
      <c r="C27" s="137" t="str">
        <v>CHƯA PHÊ DUYỆT</v>
      </c>
      <c r="D27" s="137" t="str">
        <v>Cần số liệu ruộng, đầu ra và chứng từ trước khi mở rộng.</v>
      </c>
    </row>
    <row r="28" ht="32" customHeight="1">
      <c r="A28" s="137"/>
      <c r="B28" s="137"/>
      <c r="C28" s="137"/>
      <c r="D28" s="137"/>
    </row>
    <row r="29" ht="54" customHeight="1">
      <c r="A29" s="140" t="str">
        <v>Cơ sở Rev.D được bảo lưu trong 15 trang tính đầu để đối chiếu. TOM_TAT, KICH_BAN và DONG_TIEN vẫn mô tả cơ sở cũ; chỉ REV_E trình bày kết quả đã cộng ghi chú mới.</v>
      </c>
      <c r="B29" s="140" t="str">
        <v>Cơ sở Rev.D được bảo lưu trong 15 trang tính đầu để đối chiếu. TOM_TAT, KICH_BAN và DONG_TIEN vẫn mô tả cơ sở cũ; chỉ REV_E trình bày kết quả đã cộng ghi chú mới.</v>
      </c>
      <c r="C29" s="140" t="str">
        <v>Cơ sở Rev.D được bảo lưu trong 15 trang tính đầu để đối chiếu. TOM_TAT, KICH_BAN và DONG_TIEN vẫn mô tả cơ sở cũ; chỉ REV_E trình bày kết quả đã cộng ghi chú mới.</v>
      </c>
      <c r="D29" s="140" t="str">
        <v>Cơ sở Rev.D được bảo lưu trong 15 trang tính đầu để đối chiếu. TOM_TAT, KICH_BAN và DONG_TIEN vẫn mô tả cơ sở cũ; chỉ REV_E trình bày kết quả đã cộng ghi chú mới.</v>
      </c>
    </row>
    <row r="30" ht="32" customHeight="1">
      <c r="A30" s="137"/>
      <c r="B30" s="137"/>
      <c r="C30" s="137"/>
      <c r="D30" s="137"/>
    </row>
    <row r="31" ht="54" customHeight="1">
      <c r="A31" s="140" t="str">
        <v>MUA_CONG là ngân sách khởi tạo ngày 05.09.2026, chưa có báo giá hoặc chấm công thực tế. THU_NGHIEM là so sánh riêng: không tự động cộng vào REV_E khi chưa phê duyệt phương án.</v>
      </c>
      <c r="B31" s="140" t="str">
        <v>MUA_CONG là ngân sách khởi tạo ngày 05.09.2026, chưa có báo giá hoặc chấm công thực tế. THU_NGHIEM là so sánh riêng: không tự động cộng vào REV_E khi chưa phê duyệt phương án.</v>
      </c>
      <c r="C31" s="140" t="str">
        <v>MUA_CONG là ngân sách khởi tạo ngày 05.09.2026, chưa có báo giá hoặc chấm công thực tế. THU_NGHIEM là so sánh riêng: không tự động cộng vào REV_E khi chưa phê duyệt phương án.</v>
      </c>
      <c r="D31" s="140" t="str">
        <v>MUA_CONG là ngân sách khởi tạo ngày 05.09.2026, chưa có báo giá hoặc chấm công thực tế. THU_NGHIEM là so sánh riêng: không tự động cộng vào REV_E khi chưa phê duyệt phương án.</v>
      </c>
    </row>
    <row r="32" ht="32" customHeight="1">
      <c r="A32" s="137"/>
      <c r="B32" s="137"/>
      <c r="C32" s="137"/>
      <c r="D32" s="137"/>
    </row>
    <row r="33" ht="54" customHeight="1">
      <c r="A33" s="140" t="str">
        <v>NHAT_KY_MUA chỉ có dữ liệu giả lập để hướng dẫn cách tính. Không được trình bày các dòng mẫu như bằng chứng một ruộng Đông Sơn đã thực hiện.</v>
      </c>
      <c r="B33" s="140" t="str">
        <v>NHAT_KY_MUA chỉ có dữ liệu giả lập để hướng dẫn cách tính. Không được trình bày các dòng mẫu như bằng chứng một ruộng Đông Sơn đã thực hiện.</v>
      </c>
      <c r="C33" s="140" t="str">
        <v>NHAT_KY_MUA chỉ có dữ liệu giả lập để hướng dẫn cách tính. Không được trình bày các dòng mẫu như bằng chứng một ruộng Đông Sơn đã thực hiện.</v>
      </c>
      <c r="D33" s="140" t="str">
        <v>NHAT_KY_MUA chỉ có dữ liệu giả lập để hướng dẫn cách tính. Không được trình bày các dòng mẫu như bằng chứng một ruộng Đông Sơn đã thực hiện.</v>
      </c>
    </row>
    <row r="34" ht="32" customHeight="1">
      <c r="A34" s="137"/>
      <c r="B34" s="137"/>
      <c r="C34" s="137"/>
      <c r="D34" s="137"/>
    </row>
    <row r="35" ht="54" customHeight="1">
      <c r="A35" s="140" t="str">
        <v>© 2026 DONGSON AGRIMEX. Quyền tác giả thuộc Đông Sơn đối với phần biên soạn, cấu trúc và mô hình do Đông Sơn tạo; quyền nguồn bên thứ ba được bảo lưu.</v>
      </c>
      <c r="B35" s="140" t="str">
        <v>© 2026 DONGSON AGRIMEX. Quyền tác giả thuộc Đông Sơn đối với phần biên soạn, cấu trúc và mô hình do Đông Sơn tạo; quyền nguồn bên thứ ba được bảo lưu.</v>
      </c>
      <c r="C35" s="140" t="str">
        <v>© 2026 DONGSON AGRIMEX. Quyền tác giả thuộc Đông Sơn đối với phần biên soạn, cấu trúc và mô hình do Đông Sơn tạo; quyền nguồn bên thứ ba được bảo lưu.</v>
      </c>
      <c r="D35" s="140" t="str">
        <v>© 2026 DONGSON AGRIMEX. Quyền tác giả thuộc Đông Sơn đối với phần biên soạn, cấu trúc và mô hình do Đông Sơn tạo; quyền nguồn bên thứ ba được bảo lưu.</v>
      </c>
    </row>
    <row r="36" ht="32" customHeight="1">
      <c r="A36" s="137"/>
      <c r="B36" s="137"/>
      <c r="C36" s="137"/>
      <c r="D36" s="137"/>
    </row>
  </sheetData>
  <sheetProtection password="B07A" sheet="1" objects="1" scenarios="1" formatCells="1" formatColumns="1" formatRows="1" insertColumns="1" insertRows="1" deleteColumns="1" deleteRows="1" selectLockedCells="0" selectUnlockedCells="0"/>
  <mergeCells>
    <mergeCell ref="A1:D1"/>
    <mergeCell ref="A2:D2"/>
    <mergeCell ref="A29:D29"/>
    <mergeCell ref="A31:D31"/>
    <mergeCell ref="A33:D33"/>
    <mergeCell ref="A35:D35"/>
  </mergeCells>
  <pageMargins left="0.7" right="0.7" top="0.75" bottom="0.75" header="0.3" footer="0.3"/>
  <pageSetup paperSize="9" orientation="landscape" fitToWidth="1" fitToHeight="0"/>
  <headerFooter>
    <oddFooter>&amp;L© DONGSON AGRIMEX · CP04 · Rev.E&amp;C&amp;BẢN CÔNG KHAI&amp;R&amp;P / &amp;N</oddFooter>
  </headerFooter>
</worksheet>
</file>

<file path=xl/worksheets/sheet17.xml><?xml version="1.0" encoding="utf-8"?>
<worksheet xmlns="http://schemas.openxmlformats.org/spreadsheetml/2006/main">
  <sheetPr>
    <pageSetUpPr fitToPage="1"/>
  </sheetPr>
  <sheetViews>
    <sheetView showGridLines="0" workbookViewId="0"/>
  </sheetViews>
  <sheetFormatPr defaultRowHeight="15"/>
  <cols>
    <col min="1" max="1" width="8" hidden="0" customWidth="1"/>
    <col min="2" max="2" width="37" hidden="0" customWidth="1"/>
    <col min="3" max="3" width="13" hidden="0" customWidth="1"/>
    <col min="4" max="4" width="16" hidden="0" customWidth="1"/>
    <col min="5" max="5" width="18" hidden="0" customWidth="1"/>
    <col min="6" max="6" width="20" hidden="0" customWidth="1"/>
    <col min="7" max="7" width="20" hidden="0" customWidth="1"/>
    <col min="8" max="8" width="20" hidden="0" customWidth="1"/>
    <col min="9" max="9" width="67" hidden="0" customWidth="1"/>
  </cols>
  <sheetData>
    <row r="1" ht="40" customHeight="1">
      <c r="A1" s="139" t="str">
        <v>MƯA · CÔNG LAO ĐỘNG · THU HỒI VẬT LIỆU</v>
      </c>
      <c r="B1" s="139" t="str">
        <v>MƯA · CÔNG LAO ĐỘNG · THU HỒI VẬT LIỆU</v>
      </c>
      <c r="C1" s="139" t="str">
        <v>MƯA · CÔNG LAO ĐỘNG · THU HỒI VẬT LIỆU</v>
      </c>
      <c r="D1" s="139" t="str">
        <v>MƯA · CÔNG LAO ĐỘNG · THU HỒI VẬT LIỆU</v>
      </c>
      <c r="E1" s="139" t="str">
        <v>MƯA · CÔNG LAO ĐỘNG · THU HỒI VẬT LIỆU</v>
      </c>
      <c r="F1" s="139" t="str">
        <v>MƯA · CÔNG LAO ĐỘNG · THU HỒI VẬT LIỆU</v>
      </c>
      <c r="G1" s="139" t="str">
        <v>MƯA · CÔNG LAO ĐỘNG · THU HỒI VẬT LIỆU</v>
      </c>
      <c r="H1" s="139" t="str">
        <v>MƯA · CÔNG LAO ĐỘNG · THU HỒI VẬT LIỆU</v>
      </c>
      <c r="I1" s="139" t="str">
        <v>MƯA · CÔNG LAO ĐỘNG · THU HỒI VẬT LIỆU</v>
      </c>
    </row>
    <row r="2" ht="62" customHeight="1">
      <c r="A2" s="141" t="str">
        <v>Định mức khởi tạo, không phải báo giá. H = F − G; cột G chỉ khấu trừ khi khoản đó đã thực sự có trong cơ sở. Dòng làm cỏ là PHẦN THÊM ngoài 100 công cũ.</v>
      </c>
      <c r="B2" s="141" t="str">
        <v>Định mức khởi tạo, không phải báo giá. H = F − G; cột G chỉ khấu trừ khi khoản đó đã thực sự có trong cơ sở. Dòng làm cỏ là PHẦN THÊM ngoài 100 công cũ.</v>
      </c>
      <c r="C2" s="141" t="str">
        <v>Định mức khởi tạo, không phải báo giá. H = F − G; cột G chỉ khấu trừ khi khoản đó đã thực sự có trong cơ sở. Dòng làm cỏ là PHẦN THÊM ngoài 100 công cũ.</v>
      </c>
      <c r="D2" s="141" t="str">
        <v>Định mức khởi tạo, không phải báo giá. H = F − G; cột G chỉ khấu trừ khi khoản đó đã thực sự có trong cơ sở. Dòng làm cỏ là PHẦN THÊM ngoài 100 công cũ.</v>
      </c>
      <c r="E2" s="141" t="str">
        <v>Định mức khởi tạo, không phải báo giá. H = F − G; cột G chỉ khấu trừ khi khoản đó đã thực sự có trong cơ sở. Dòng làm cỏ là PHẦN THÊM ngoài 100 công cũ.</v>
      </c>
      <c r="F2" s="141" t="str">
        <v>Định mức khởi tạo, không phải báo giá. H = F − G; cột G chỉ khấu trừ khi khoản đó đã thực sự có trong cơ sở. Dòng làm cỏ là PHẦN THÊM ngoài 100 công cũ.</v>
      </c>
      <c r="G2" s="141" t="str">
        <v>Định mức khởi tạo, không phải báo giá. H = F − G; cột G chỉ khấu trừ khi khoản đó đã thực sự có trong cơ sở. Dòng làm cỏ là PHẦN THÊM ngoài 100 công cũ.</v>
      </c>
      <c r="H2" s="141" t="str">
        <v>Định mức khởi tạo, không phải báo giá. H = F − G; cột G chỉ khấu trừ khi khoản đó đã thực sự có trong cơ sở. Dòng làm cỏ là PHẦN THÊM ngoài 100 công cũ.</v>
      </c>
      <c r="I2" s="141" t="str">
        <v>Định mức khởi tạo, không phải báo giá. H = F − G; cột G chỉ khấu trừ khi khoản đó đã thực sự có trong cơ sở. Dòng làm cỏ là PHẦN THÊM ngoài 100 công cũ.</v>
      </c>
    </row>
    <row r="3" ht="32" customHeight="1">
      <c r="A3" s="137"/>
      <c r="B3" s="137"/>
      <c r="C3" s="137"/>
      <c r="D3" s="137"/>
      <c r="E3" s="137"/>
      <c r="F3" s="137"/>
      <c r="G3" s="137"/>
      <c r="H3" s="137"/>
      <c r="I3" s="137"/>
    </row>
    <row r="4" ht="32" customHeight="1">
      <c r="A4" s="137"/>
      <c r="B4" s="137"/>
      <c r="C4" s="137"/>
      <c r="D4" s="137"/>
      <c r="E4" s="137"/>
      <c r="F4" s="137"/>
      <c r="G4" s="137"/>
      <c r="H4" s="137"/>
      <c r="I4" s="137"/>
    </row>
    <row r="5" ht="32" customHeight="1">
      <c r="A5" s="137"/>
      <c r="B5" s="137"/>
      <c r="C5" s="137"/>
      <c r="D5" s="137"/>
      <c r="E5" s="137"/>
      <c r="F5" s="137"/>
      <c r="G5" s="137"/>
      <c r="H5" s="137"/>
      <c r="I5" s="137"/>
    </row>
    <row r="6" ht="34" customHeight="1">
      <c r="A6" s="142" t="str">
        <v>Mã</v>
      </c>
      <c r="B6" s="142" t="str">
        <v>Công việc / vật tư</v>
      </c>
      <c r="C6" s="142" t="str">
        <v>Số lượng</v>
      </c>
      <c r="D6" s="142" t="str">
        <v>Đơn vị</v>
      </c>
      <c r="E6" s="142" t="str">
        <v>Đơn giá</v>
      </c>
      <c r="F6" s="142" t="str">
        <v>Tổng tính</v>
      </c>
      <c r="G6" s="142" t="str">
        <v>Đã có cơ sở</v>
      </c>
      <c r="H6" s="142" t="str">
        <v>Phát sinh ròng</v>
      </c>
      <c r="I6" s="142" t="str">
        <v>Cơ sở / điều kiện</v>
      </c>
    </row>
    <row r="7" ht="66" customHeight="1">
      <c r="A7" s="137" t="str">
        <v>E01</v>
      </c>
      <c r="B7" s="137" t="str">
        <v>Cắt cỏ ít xáo trộn: phần công tăng</v>
      </c>
      <c r="C7" s="143" t="n">
        <v>160</v>
      </c>
      <c r="D7" s="137" t="str">
        <v>giờ</v>
      </c>
      <c r="E7" s="144" t="n">
        <f>GIA_DINH!D10/REV_E!B5</f>
        <v>37500</v>
      </c>
      <c r="F7" s="144" t="n">
        <f>C7*E7</f>
        <v>6000000</v>
      </c>
      <c r="G7" s="145" t="n">
        <v>0</v>
      </c>
      <c r="H7" s="144" t="n">
        <f>F7-G7</f>
        <v>6000000</v>
      </c>
      <c r="I7" s="137" t="str">
        <v>Giả định 20 công × 8 giờ; chưa có phép đo giảm vi sinh. Chấm giờ theo ô.</v>
      </c>
    </row>
    <row r="8" ht="66" customHeight="1">
      <c r="A8" s="137" t="str">
        <v>E02</v>
      </c>
      <c r="B8" s="137" t="str">
        <v>Khơi, bảo trì rãnh sau mưa</v>
      </c>
      <c r="C8" s="143" t="n">
        <v>96</v>
      </c>
      <c r="D8" s="137" t="str">
        <v>giờ</v>
      </c>
      <c r="E8" s="144" t="n">
        <f>GIA_DINH!D10/REV_E!B5</f>
        <v>37500</v>
      </c>
      <c r="F8" s="144" t="n">
        <f>C8*E8</f>
        <v>3600000</v>
      </c>
      <c r="G8" s="145" t="n">
        <v>0</v>
      </c>
      <c r="H8" s="144" t="n">
        <f>F8-G8</f>
        <v>3600000</v>
      </c>
      <c r="I8" s="137" t="str">
        <v>Giả định 12 công, ngoài gói thiết lập ruộng ban đầu.</v>
      </c>
    </row>
    <row r="9" ht="66" customHeight="1">
      <c r="A9" s="137" t="str">
        <v>E03</v>
      </c>
      <c r="B9" s="137" t="str">
        <v>Ghi và kiểm vũ lượng kế</v>
      </c>
      <c r="C9" s="143" t="n">
        <v>24</v>
      </c>
      <c r="D9" s="137" t="str">
        <v>giờ</v>
      </c>
      <c r="E9" s="144" t="n">
        <f>GIA_DINH!D10/REV_E!B5</f>
        <v>37500</v>
      </c>
      <c r="F9" s="144" t="n">
        <f>C9*E9</f>
        <v>900000</v>
      </c>
      <c r="G9" s="145" t="n">
        <v>0</v>
      </c>
      <c r="H9" s="144" t="n">
        <f>F9-G9</f>
        <v>900000</v>
      </c>
      <c r="I9" s="137" t="str">
        <v>Ví dụ 120 ngày × 12 phút, gộp nếu cùng giờ thăm đồng đã trả.</v>
      </c>
    </row>
    <row r="10" ht="66" customHeight="1">
      <c r="A10" s="137" t="str">
        <v>E04</v>
      </c>
      <c r="B10" s="137" t="str">
        <v>Kiểm tra tăng cường sau mưa</v>
      </c>
      <c r="C10" s="143" t="n">
        <v>16</v>
      </c>
      <c r="D10" s="137" t="str">
        <v>giờ</v>
      </c>
      <c r="E10" s="144" t="n">
        <f>GIA_DINH!D10/REV_E!B5</f>
        <v>37500</v>
      </c>
      <c r="F10" s="144" t="n">
        <f>C10*E10</f>
        <v>600000</v>
      </c>
      <c r="G10" s="145" t="n">
        <v>0</v>
      </c>
      <c r="H10" s="144" t="n">
        <f>F10-G10</f>
        <v>600000</v>
      </c>
      <c r="I10" s="137" t="str">
        <v>Giả định 4 đợt × 4 giờ, không phải ngưỡng số trận mưa.</v>
      </c>
    </row>
    <row r="11" ht="66" customHeight="1">
      <c r="A11" s="137" t="str">
        <v>E05</v>
      </c>
      <c r="B11" s="137" t="str">
        <v>Thu hồi, cuộn, kiểm vật liệu: công tăng</v>
      </c>
      <c r="C11" s="143" t="n">
        <v>16</v>
      </c>
      <c r="D11" s="137" t="str">
        <v>giờ</v>
      </c>
      <c r="E11" s="144" t="n">
        <f>GIA_DINH!D10/REV_E!B5</f>
        <v>37500</v>
      </c>
      <c r="F11" s="144" t="n">
        <f>C11*E11</f>
        <v>600000</v>
      </c>
      <c r="G11" s="145" t="n">
        <v>0</v>
      </c>
      <c r="H11" s="144" t="n">
        <f>F11-G11</f>
        <v>600000</v>
      </c>
      <c r="I11" s="137" t="str">
        <v>Giả định 2 công tăng; công lắp phủ ban đầu đã nằm CP17.</v>
      </c>
    </row>
    <row r="12" ht="66" customHeight="1">
      <c r="A12" s="137" t="str">
        <v>E06</v>
      </c>
      <c r="B12" s="137" t="str">
        <v>Nước và vật tư vệ sinh sau thu hồi</v>
      </c>
      <c r="C12" s="143" t="n">
        <v>1</v>
      </c>
      <c r="D12" s="137" t="str">
        <v>gói/vụ</v>
      </c>
      <c r="E12" s="145" t="n">
        <v>500000</v>
      </c>
      <c r="F12" s="144" t="n">
        <f>C12*E12</f>
        <v>500000</v>
      </c>
      <c r="G12" s="145" t="n">
        <v>0</v>
      </c>
      <c r="H12" s="144" t="n">
        <f>F12-G12</f>
        <v>500000</v>
      </c>
      <c r="I12" s="137" t="str">
        <v>Giữ chỗ 500.000 đồng; không kê hóa chất hoặc suy diễn đủ điều kiện tái dùng.</v>
      </c>
    </row>
    <row r="13" ht="66" customHeight="1">
      <c r="A13" s="137" t="str">
        <v>E07</v>
      </c>
      <c r="B13" s="137" t="str">
        <v>Thuê bơm tiêu bổ sung</v>
      </c>
      <c r="C13" s="143" t="n">
        <v>8</v>
      </c>
      <c r="D13" s="137" t="str">
        <v>giờ</v>
      </c>
      <c r="E13" s="145" t="n">
        <v>150000</v>
      </c>
      <c r="F13" s="144" t="n">
        <f>C13*E13</f>
        <v>1200000</v>
      </c>
      <c r="G13" s="145" t="n">
        <v>0</v>
      </c>
      <c r="H13" s="144" t="n">
        <f>F13-G13</f>
        <v>1200000</v>
      </c>
      <c r="I13" s="137" t="str">
        <v>Giữ chỗ 8 giờ, chỉ khi bơm sẵn có không đáp ứng; chưa gồm năng lượng.</v>
      </c>
    </row>
    <row r="14" ht="66" customHeight="1">
      <c r="A14" s="137" t="str">
        <v>E08</v>
      </c>
      <c r="B14" s="137" t="str">
        <v>Năng lượng bơm tiêu bổ sung</v>
      </c>
      <c r="C14" s="143" t="n">
        <v>1</v>
      </c>
      <c r="D14" s="137" t="str">
        <v>ngân sách</v>
      </c>
      <c r="E14" s="145" t="n">
        <v>400000</v>
      </c>
      <c r="F14" s="144" t="n">
        <f>C14*E14</f>
        <v>400000</v>
      </c>
      <c r="G14" s="145" t="n">
        <v>0</v>
      </c>
      <c r="H14" s="144" t="n">
        <f>F14-G14</f>
        <v>400000</v>
      </c>
      <c r="I14" s="137" t="str">
        <v>Phải thay bằng giờ máy × mức tiêu hao × đơn giá thực tế.</v>
      </c>
    </row>
    <row r="15" ht="66" customHeight="1">
      <c r="A15" s="137" t="str">
        <v>E09</v>
      </c>
      <c r="B15" s="137" t="str">
        <v>Chẩn đoán tác nhân bệnh sau úng</v>
      </c>
      <c r="C15" s="143" t="n">
        <v>2</v>
      </c>
      <c r="D15" s="137" t="str">
        <v>mẫu</v>
      </c>
      <c r="E15" s="145" t="n">
        <v>800000</v>
      </c>
      <c r="F15" s="144" t="n">
        <f>C15*E15</f>
        <v>1600000</v>
      </c>
      <c r="G15" s="145" t="n">
        <v>0</v>
      </c>
      <c r="H15" s="144" t="n">
        <f>F15-G15</f>
        <v>1600000</v>
      </c>
      <c r="I15" s="137" t="str">
        <v>Giữ chỗ, khác kiểm nghiệm dư lượng; phòng thử nghiệm quyết định cách lấy mẫu.</v>
      </c>
    </row>
    <row r="16" ht="66" customHeight="1">
      <c r="A16" s="137" t="str">
        <v>E10</v>
      </c>
      <c r="B16" s="137" t="str">
        <v>Vũ lượng kế thủ công</v>
      </c>
      <c r="C16" s="143" t="n">
        <v>1</v>
      </c>
      <c r="D16" s="137" t="str">
        <v>cái</v>
      </c>
      <c r="E16" s="145" t="n">
        <v>350000</v>
      </c>
      <c r="F16" s="144" t="n">
        <f>C16*E16</f>
        <v>350000</v>
      </c>
      <c r="G16" s="145" t="n">
        <v>350000</v>
      </c>
      <c r="H16" s="144" t="n">
        <f>F16-G16</f>
        <v>0</v>
      </c>
      <c r="I16" s="137" t="str">
        <v>Đối chiếu thiết bị đo TS05 (8 triệu): giả định đã bao gồm, không mua lặp.</v>
      </c>
    </row>
    <row r="17" ht="66" customHeight="1">
      <c r="A17" s="137" t="str">
        <v>E11</v>
      </c>
      <c r="B17" s="137" t="str">
        <v>Cọc/thước đo nước cố định</v>
      </c>
      <c r="C17" s="143" t="n">
        <v>5</v>
      </c>
      <c r="D17" s="137" t="str">
        <v>bộ</v>
      </c>
      <c r="E17" s="145" t="n">
        <v>40000</v>
      </c>
      <c r="F17" s="144" t="n">
        <f>C17*E17</f>
        <v>200000</v>
      </c>
      <c r="G17" s="145" t="n">
        <v>200000</v>
      </c>
      <c r="H17" s="144" t="n">
        <f>F17-G17</f>
        <v>0</v>
      </c>
      <c r="I17" s="137" t="str">
        <v>Đối chiếu ngân sách đo đạc TS05: giả định đã bao gồm, cần kiểm kê.</v>
      </c>
    </row>
    <row r="18" ht="66" customHeight="1">
      <c r="A18" s="137" t="str">
        <v>E12</v>
      </c>
      <c r="B18" s="137" t="str">
        <v>Làm đất, luống, thoát nước ban đầu</v>
      </c>
      <c r="C18" s="143" t="n">
        <v>1</v>
      </c>
      <c r="D18" s="137" t="str">
        <v>ha</v>
      </c>
      <c r="E18" s="145" t="n">
        <v>15000000</v>
      </c>
      <c r="F18" s="144" t="n">
        <f>C18*E18</f>
        <v>15000000</v>
      </c>
      <c r="G18" s="145" t="n">
        <v>15000000</v>
      </c>
      <c r="H18" s="144" t="n">
        <f>F18-G18</f>
        <v>0</v>
      </c>
      <c r="I18" s="137" t="str">
        <v>Đã nằm CHI_PHI_VU!G11; ghi lại để chứng minh không cộng hai lần.</v>
      </c>
    </row>
    <row r="19" ht="32" customHeight="1">
      <c r="A19" s="140" t="str">
        <v>Cộng trước dự phòng</v>
      </c>
      <c r="B19" s="140"/>
      <c r="C19" s="140"/>
      <c r="D19" s="140"/>
      <c r="E19" s="146"/>
      <c r="F19" s="146" t="n">
        <f>SUM(F7:F18)</f>
        <v>30950000</v>
      </c>
      <c r="G19" s="146" t="n">
        <f>SUM(G7:G18)</f>
        <v>15550000</v>
      </c>
      <c r="H19" s="146" t="n">
        <f>SUM(H7:H18)</f>
        <v>15400000</v>
      </c>
      <c r="I19" s="140"/>
    </row>
    <row r="20" ht="32" customHeight="1">
      <c r="A20" s="140" t="str">
        <v>Dự phòng phần tăng</v>
      </c>
      <c r="B20" s="140"/>
      <c r="C20" s="140"/>
      <c r="D20" s="140"/>
      <c r="E20" s="146"/>
      <c r="F20" s="146"/>
      <c r="G20" s="146"/>
      <c r="H20" s="146" t="n">
        <f>H19*GIA_DINH!D17</f>
        <v>770000</v>
      </c>
      <c r="I20" s="140"/>
    </row>
    <row r="21" ht="32" customHeight="1">
      <c r="A21" s="140" t="str">
        <v>TỔNG BỔ SUNG</v>
      </c>
      <c r="B21" s="140"/>
      <c r="C21" s="140"/>
      <c r="D21" s="140"/>
      <c r="E21" s="146"/>
      <c r="F21" s="146"/>
      <c r="G21" s="146"/>
      <c r="H21" s="146" t="n">
        <f>SUM(H19:H20)</f>
        <v>16170000</v>
      </c>
      <c r="I21" s="140"/>
    </row>
    <row r="22" ht="32" customHeight="1">
      <c r="A22" s="137"/>
      <c r="B22" s="137"/>
      <c r="C22" s="137"/>
      <c r="D22" s="137"/>
      <c r="E22" s="137"/>
      <c r="F22" s="137"/>
      <c r="G22" s="137"/>
      <c r="H22" s="137"/>
      <c r="I22" s="137"/>
    </row>
    <row r="23" ht="54" customHeight="1">
      <c r="A23" s="140" t="str">
        <v>Nguồn: đề xuất lập kế hoạch Đông Sơn 05.09.2026; đơn giá lao động liên kết GIA_DINH của Rev.D. Không coi số 0 khấu trừ là chi phí công việc bằng 0. Thuế/cước/phúc lợi ngoài phần đã có phải đối soát riêng.</v>
      </c>
      <c r="B23" s="140" t="str">
        <v>Nguồn: đề xuất lập kế hoạch Đông Sơn 05.09.2026; đơn giá lao động liên kết GIA_DINH của Rev.D. Không coi số 0 khấu trừ là chi phí công việc bằng 0. Thuế/cước/phúc lợi ngoài phần đã có phải đối soát riêng.</v>
      </c>
      <c r="C23" s="140" t="str">
        <v>Nguồn: đề xuất lập kế hoạch Đông Sơn 05.09.2026; đơn giá lao động liên kết GIA_DINH của Rev.D. Không coi số 0 khấu trừ là chi phí công việc bằng 0. Thuế/cước/phúc lợi ngoài phần đã có phải đối soát riêng.</v>
      </c>
      <c r="D23" s="140" t="str">
        <v>Nguồn: đề xuất lập kế hoạch Đông Sơn 05.09.2026; đơn giá lao động liên kết GIA_DINH của Rev.D. Không coi số 0 khấu trừ là chi phí công việc bằng 0. Thuế/cước/phúc lợi ngoài phần đã có phải đối soát riêng.</v>
      </c>
      <c r="E23" s="140" t="str">
        <v>Nguồn: đề xuất lập kế hoạch Đông Sơn 05.09.2026; đơn giá lao động liên kết GIA_DINH của Rev.D. Không coi số 0 khấu trừ là chi phí công việc bằng 0. Thuế/cước/phúc lợi ngoài phần đã có phải đối soát riêng.</v>
      </c>
      <c r="F23" s="140" t="str">
        <v>Nguồn: đề xuất lập kế hoạch Đông Sơn 05.09.2026; đơn giá lao động liên kết GIA_DINH của Rev.D. Không coi số 0 khấu trừ là chi phí công việc bằng 0. Thuế/cước/phúc lợi ngoài phần đã có phải đối soát riêng.</v>
      </c>
      <c r="G23" s="140" t="str">
        <v>Nguồn: đề xuất lập kế hoạch Đông Sơn 05.09.2026; đơn giá lao động liên kết GIA_DINH của Rev.D. Không coi số 0 khấu trừ là chi phí công việc bằng 0. Thuế/cước/phúc lợi ngoài phần đã có phải đối soát riêng.</v>
      </c>
      <c r="H23" s="140" t="str">
        <v>Nguồn: đề xuất lập kế hoạch Đông Sơn 05.09.2026; đơn giá lao động liên kết GIA_DINH của Rev.D. Không coi số 0 khấu trừ là chi phí công việc bằng 0. Thuế/cước/phúc lợi ngoài phần đã có phải đối soát riêng.</v>
      </c>
      <c r="I23" s="140" t="str">
        <v>Nguồn: đề xuất lập kế hoạch Đông Sơn 05.09.2026; đơn giá lao động liên kết GIA_DINH của Rev.D. Không coi số 0 khấu trừ là chi phí công việc bằng 0. Thuế/cước/phúc lợi ngoài phần đã có phải đối soát riêng.</v>
      </c>
    </row>
    <row r="24" ht="32" customHeight="1">
      <c r="A24" s="137"/>
      <c r="B24" s="137"/>
      <c r="C24" s="137"/>
      <c r="D24" s="137"/>
      <c r="E24" s="137"/>
      <c r="F24" s="137"/>
      <c r="G24" s="137"/>
      <c r="H24" s="137"/>
      <c r="I24" s="137"/>
    </row>
    <row r="25" ht="54" customHeight="1">
      <c r="A25" s="140" t="str">
        <v>Không mua bơm, cảm biến hoặc nhà màng theo bảng này trước khảo sát. Công suất bơm phải kiểm theo cao trình, đường ống, lưu lượng thực và nơi xả hợp lệ; không tính từ công suất động cơ đơn thuần.</v>
      </c>
      <c r="B25" s="140" t="str">
        <v>Không mua bơm, cảm biến hoặc nhà màng theo bảng này trước khảo sát. Công suất bơm phải kiểm theo cao trình, đường ống, lưu lượng thực và nơi xả hợp lệ; không tính từ công suất động cơ đơn thuần.</v>
      </c>
      <c r="C25" s="140" t="str">
        <v>Không mua bơm, cảm biến hoặc nhà màng theo bảng này trước khảo sát. Công suất bơm phải kiểm theo cao trình, đường ống, lưu lượng thực và nơi xả hợp lệ; không tính từ công suất động cơ đơn thuần.</v>
      </c>
      <c r="D25" s="140" t="str">
        <v>Không mua bơm, cảm biến hoặc nhà màng theo bảng này trước khảo sát. Công suất bơm phải kiểm theo cao trình, đường ống, lưu lượng thực và nơi xả hợp lệ; không tính từ công suất động cơ đơn thuần.</v>
      </c>
      <c r="E25" s="140" t="str">
        <v>Không mua bơm, cảm biến hoặc nhà màng theo bảng này trước khảo sát. Công suất bơm phải kiểm theo cao trình, đường ống, lưu lượng thực và nơi xả hợp lệ; không tính từ công suất động cơ đơn thuần.</v>
      </c>
      <c r="F25" s="140" t="str">
        <v>Không mua bơm, cảm biến hoặc nhà màng theo bảng này trước khảo sát. Công suất bơm phải kiểm theo cao trình, đường ống, lưu lượng thực và nơi xả hợp lệ; không tính từ công suất động cơ đơn thuần.</v>
      </c>
      <c r="G25" s="140" t="str">
        <v>Không mua bơm, cảm biến hoặc nhà màng theo bảng này trước khảo sát. Công suất bơm phải kiểm theo cao trình, đường ống, lưu lượng thực và nơi xả hợp lệ; không tính từ công suất động cơ đơn thuần.</v>
      </c>
      <c r="H25" s="140" t="str">
        <v>Không mua bơm, cảm biến hoặc nhà màng theo bảng này trước khảo sát. Công suất bơm phải kiểm theo cao trình, đường ống, lưu lượng thực và nơi xả hợp lệ; không tính từ công suất động cơ đơn thuần.</v>
      </c>
      <c r="I25" s="140" t="str">
        <v>Không mua bơm, cảm biến hoặc nhà màng theo bảng này trước khảo sát. Công suất bơm phải kiểm theo cao trình, đường ống, lưu lượng thực và nơi xả hợp lệ; không tính từ công suất động cơ đơn thuần.</v>
      </c>
    </row>
    <row r="26" ht="32" customHeight="1">
      <c r="A26" s="137"/>
      <c r="B26" s="137"/>
      <c r="C26" s="137"/>
      <c r="D26" s="137"/>
      <c r="E26" s="137"/>
      <c r="F26" s="137"/>
      <c r="G26" s="137"/>
      <c r="H26" s="137"/>
      <c r="I26" s="137"/>
    </row>
  </sheetData>
  <sheetProtection password="B07A" sheet="1" objects="1" scenarios="1" formatCells="1" formatColumns="1" formatRows="1" insertColumns="1" insertRows="1" deleteColumns="1" deleteRows="1" selectLockedCells="0" selectUnlockedCells="0"/>
  <mergeCells>
    <mergeCell ref="A1:I1"/>
    <mergeCell ref="A2:I2"/>
    <mergeCell ref="A19:B19"/>
    <mergeCell ref="A20:B20"/>
    <mergeCell ref="A21:B21"/>
    <mergeCell ref="A23:I23"/>
    <mergeCell ref="A25:I25"/>
  </mergeCells>
  <pageMargins left="0.7" right="0.7" top="0.75" bottom="0.75" header="0.3" footer="0.3"/>
  <pageSetup paperSize="9" orientation="landscape" fitToWidth="1" fitToHeight="0"/>
  <headerFooter>
    <oddFooter>&amp;L© DONGSON AGRIMEX · CP04 · Rev.E&amp;C&amp;BẢN CÔNG KHAI&amp;R&amp;P / &amp;N</oddFooter>
  </headerFooter>
</worksheet>
</file>

<file path=xl/worksheets/sheet18.xml><?xml version="1.0" encoding="utf-8"?>
<worksheet xmlns="http://schemas.openxmlformats.org/spreadsheetml/2006/main">
  <sheetPr>
    <pageSetUpPr fitToPage="1"/>
  </sheetPr>
  <sheetViews>
    <sheetView showGridLines="0" workbookViewId="0"/>
  </sheetViews>
  <sheetFormatPr defaultRowHeight="15"/>
  <cols>
    <col min="1" max="1" width="46" hidden="0" customWidth="1"/>
    <col min="2" max="2" width="22" hidden="0" customWidth="1"/>
    <col min="3" max="3" width="23" hidden="0" customWidth="1"/>
    <col min="4" max="4" width="66" hidden="0" customWidth="1"/>
  </cols>
  <sheetData>
    <row r="1" ht="40" customHeight="1">
      <c r="A1" s="139" t="str">
        <v>THỬ NGHIỆM PHƯƠNG ÁN · KHÔNG TỰ CỘNG NGÂN SÁCH</v>
      </c>
      <c r="B1" s="139" t="str">
        <v>THỬ NGHIỆM PHƯƠNG ÁN · KHÔNG TỰ CỘNG NGÂN SÁCH</v>
      </c>
      <c r="C1" s="139" t="str">
        <v>THỬ NGHIỆM PHƯƠNG ÁN · KHÔNG TỰ CỘNG NGÂN SÁCH</v>
      </c>
      <c r="D1" s="139" t="str">
        <v>THỬ NGHIỆM PHƯƠNG ÁN · KHÔNG TỰ CỘNG NGÂN SÁCH</v>
      </c>
    </row>
    <row r="2" ht="62" customHeight="1">
      <c r="A2" s="141" t="str">
        <v>So sánh tĩnh, cùng diện tích và điều kiện. Chưa ghi nhận tăng năng suất, lợi ích vi sinh hoặc số vòng tái dùng thực tế. Đơn giá đều là giả định 05.09.2026; thay bằng báo giá trước quyết định.</v>
      </c>
      <c r="B2" s="141" t="str">
        <v>So sánh tĩnh, cùng diện tích và điều kiện. Chưa ghi nhận tăng năng suất, lợi ích vi sinh hoặc số vòng tái dùng thực tế. Đơn giá đều là giả định 05.09.2026; thay bằng báo giá trước quyết định.</v>
      </c>
      <c r="C2" s="141" t="str">
        <v>So sánh tĩnh, cùng diện tích và điều kiện. Chưa ghi nhận tăng năng suất, lợi ích vi sinh hoặc số vòng tái dùng thực tế. Đơn giá đều là giả định 05.09.2026; thay bằng báo giá trước quyết định.</v>
      </c>
      <c r="D2" s="141" t="str">
        <v>So sánh tĩnh, cùng diện tích và điều kiện. Chưa ghi nhận tăng năng suất, lợi ích vi sinh hoặc số vòng tái dùng thực tế. Đơn giá đều là giả định 05.09.2026; thay bằng báo giá trước quyết định.</v>
      </c>
    </row>
    <row r="3" ht="32" customHeight="1">
      <c r="A3" s="137"/>
      <c r="B3" s="137"/>
      <c r="C3" s="137"/>
      <c r="D3" s="137"/>
    </row>
    <row r="4" ht="34" customHeight="1">
      <c r="A4" s="142" t="str">
        <v>Vải phủ dệt: giả định</v>
      </c>
      <c r="B4" s="142" t="str">
        <v>Giá trị</v>
      </c>
      <c r="C4" s="142" t="str">
        <v>Đơn vị</v>
      </c>
      <c r="D4" s="142" t="str">
        <v>Cách xác nhận</v>
      </c>
    </row>
    <row r="5" ht="53" customHeight="1">
      <c r="A5" s="137" t="str">
        <v>Diện tích phủ</v>
      </c>
      <c r="B5" s="145" t="n">
        <v>7000</v>
      </c>
      <c r="C5" s="137" t="str">
        <v>m²</v>
      </c>
      <c r="D5" s="137" t="str">
        <v>Phần mặt luống; khác 10.000 m² cả ha. Đo theo bản vẽ.</v>
      </c>
    </row>
    <row r="6" ht="53" customHeight="1">
      <c r="A6" s="137" t="str">
        <v>Đơn giá vật liệu</v>
      </c>
      <c r="B6" s="145" t="n">
        <v>6000</v>
      </c>
      <c r="C6" s="137" t="str">
        <v>đồng/m²</v>
      </c>
      <c r="D6" s="137" t="str">
        <v>Giả định, chưa chốt định lượng, tuổi thọ, khổ và cước.</v>
      </c>
    </row>
    <row r="7" ht="53" customHeight="1">
      <c r="A7" s="137" t="str">
        <v>Số vụ sử dụng đạt điều kiện</v>
      </c>
      <c r="B7" s="145" t="n">
        <v>3</v>
      </c>
      <c r="C7" s="137" t="str">
        <v>vụ</v>
      </c>
      <c r="D7" s="137" t="str">
        <v>Giả định; không hứa 3 vụ. Kiểm hư hỏng, dịch hại và điều kiện hữu cơ từng vụ.</v>
      </c>
    </row>
    <row r="8" ht="53" customHeight="1">
      <c r="A8" s="137" t="str">
        <v>Công lắp và thu mỗi vụ</v>
      </c>
      <c r="B8" s="145" t="n">
        <v>8</v>
      </c>
      <c r="C8" s="137" t="str">
        <v>công</v>
      </c>
      <c r="D8" s="137" t="str">
        <v>Giả định đầy đủ riêng phương án; không cộng lặp với CP17.</v>
      </c>
    </row>
    <row r="9" ht="53" customHeight="1">
      <c r="A9" s="137" t="str">
        <v>Vệ sinh/bảo quản mỗi vụ</v>
      </c>
      <c r="B9" s="145" t="n">
        <v>1500000</v>
      </c>
      <c r="C9" s="137" t="str">
        <v>đồng</v>
      </c>
      <c r="D9" s="137" t="str">
        <v>Giả định, chưa gồm xử lý chất thải đặc biệt.</v>
      </c>
    </row>
    <row r="10" ht="53" customHeight="1">
      <c r="A10" s="137" t="str">
        <v>Tiền mua ban đầu</v>
      </c>
      <c r="B10" s="144" t="n">
        <f>B5*B6</f>
        <v>42000000</v>
      </c>
      <c r="C10" s="137" t="str">
        <v>đồng</v>
      </c>
      <c r="D10" s="137" t="str">
        <v>Đo nhu cầu vốn vụ đầu, không nhầm với phân bổ.</v>
      </c>
    </row>
    <row r="11" ht="53" customHeight="1">
      <c r="A11" s="137" t="str">
        <v>Chi phí phân bổ và công mỗi vụ</v>
      </c>
      <c r="B11" s="144" t="n">
        <f>B10/B7+B8*GIA_DINH!D10+B9</f>
        <v>17900000</v>
      </c>
      <c r="C11" s="137" t="str">
        <v>đồng/vụ</v>
      </c>
      <c r="D11" s="137" t="str">
        <v>Chưa gồm tiền vốn, thay thế bất thường, cước, thuế hoặc lợi ích sinh học.</v>
      </c>
    </row>
    <row r="12" ht="53" customHeight="1">
      <c r="A12" s="137" t="str">
        <v>Màng cơ sở: riêng vật liệu</v>
      </c>
      <c r="B12" s="144" t="n">
        <f>CHI_PHI_VU!G16</f>
        <v>10600000</v>
      </c>
      <c r="C12" s="137" t="str">
        <v>đồng/vụ</v>
      </c>
      <c r="D12" s="137" t="str">
        <v>Lấy từ CP12; công lắp nằm CP17 hỗn hợp nên chưa có so sánh toàn phần.</v>
      </c>
    </row>
    <row r="13" ht="53" customHeight="1">
      <c r="A13" s="137" t="str">
        <v>Chênh lệch phần vật liệu quy đổi</v>
      </c>
      <c r="B13" s="144" t="n">
        <f>B10/B7-B12</f>
        <v>3400000</v>
      </c>
      <c r="C13" s="137" t="str">
        <v>đồng/vụ</v>
      </c>
      <c r="D13" s="137" t="str">
        <v>Dương là vải đắt hơn xét riêng vật liệu; chưa phải chênh lệch toàn phương án.</v>
      </c>
    </row>
    <row r="14" ht="53" customHeight="1">
      <c r="A14" s="137" t="str">
        <v>Số vụ tối thiểu ngang riêng vật liệu</v>
      </c>
      <c r="B14" s="144" t="n">
        <f>ROUNDUP(B10/B12,0)</f>
        <v>4</v>
      </c>
      <c r="C14" s="137" t="str">
        <v>vụ</v>
      </c>
      <c r="D14" s="137" t="str">
        <v>Làm tròn lên giá mua vải / chi phí màng mỗi vụ; bỏ qua chi phí dùng lại.</v>
      </c>
    </row>
    <row r="15" ht="53" customHeight="1">
      <c r="A15" s="137" t="str">
        <v>Tiền mặt vải vụ đầu + công</v>
      </c>
      <c r="B15" s="144" t="n">
        <f>B10+B8*GIA_DINH!D10+B9</f>
        <v>45900000</v>
      </c>
      <c r="C15" s="137" t="str">
        <v>đồng</v>
      </c>
      <c r="D15" s="137" t="str">
        <v>Vật liệu mua mới + toàn bộ công + vệ sinh.</v>
      </c>
    </row>
    <row r="16" ht="53" customHeight="1">
      <c r="A16" s="137" t="str">
        <v>Chi phí nếu chỉ dùng được 1 vụ</v>
      </c>
      <c r="B16" s="144" t="n">
        <f>B15</f>
        <v>45900000</v>
      </c>
      <c r="C16" s="137" t="str">
        <v>đồng/vụ</v>
      </c>
      <c r="D16" s="137" t="str">
        <v>Bằng chi vụ đầu; kịch bản hỏng vật liệu/sinh học không cho tái sử dụng.</v>
      </c>
    </row>
    <row r="17" ht="32" customHeight="1">
      <c r="A17" s="137"/>
      <c r="B17" s="137"/>
      <c r="C17" s="137"/>
      <c r="D17" s="137"/>
    </row>
    <row r="18" ht="32" customHeight="1">
      <c r="A18" s="137"/>
      <c r="B18" s="137"/>
      <c r="C18" s="137"/>
      <c r="D18" s="137"/>
    </row>
    <row r="19" ht="34" customHeight="1">
      <c r="A19" s="142" t="str">
        <v>Vườn ươm tập trung: minh họa</v>
      </c>
      <c r="B19" s="142" t="str">
        <v>Giá trị</v>
      </c>
      <c r="C19" s="142" t="str">
        <v>Đơn vị</v>
      </c>
      <c r="D19" s="142" t="str">
        <v>Cách xác nhận</v>
      </c>
    </row>
    <row r="20" ht="56" customHeight="1">
      <c r="A20" s="137" t="str">
        <v>Cây đạt chuẩn cần bàn giao</v>
      </c>
      <c r="B20" s="145" t="n">
        <v>33000</v>
      </c>
      <c r="C20" s="137" t="str">
        <v>cây</v>
      </c>
      <c r="D20" s="137" t="str">
        <v>30.000 cây + 10% dự phòng. Cùng lô giống có nhãn, hóa đơn và đối soát.</v>
      </c>
    </row>
    <row r="21" ht="56" customHeight="1">
      <c r="A21" s="137" t="str">
        <v>Giá dịch vụ cây giống đạt chuẩn</v>
      </c>
      <c r="B21" s="145" t="n">
        <v>650</v>
      </c>
      <c r="C21" s="137" t="str">
        <v>đồng/cây</v>
      </c>
      <c r="D21" s="137" t="str">
        <v>Giả định; chưa phải dịch vụ Đông Sơn hoặc báo giá đối tác.</v>
      </c>
    </row>
    <row r="22" ht="56" customHeight="1">
      <c r="A22" s="137" t="str">
        <v>Cước và tiếp nhận cây</v>
      </c>
      <c r="B22" s="145" t="n">
        <v>1500000</v>
      </c>
      <c r="C22" s="137" t="str">
        <v>đồng/lô</v>
      </c>
      <c r="D22" s="137" t="str">
        <v>Giả định cho một lô; kiểm tuyến và điều kiện bảo vệ bầu.</v>
      </c>
    </row>
    <row r="23" ht="56" customHeight="1">
      <c r="A23" s="137" t="str">
        <v>Chi phí mua cây tập trung</v>
      </c>
      <c r="B23" s="144" t="n">
        <f>B20*B21+B22</f>
        <v>22950000</v>
      </c>
      <c r="C23" s="137" t="str">
        <v>đồng</v>
      </c>
      <c r="D23" s="137" t="str">
        <v>Số cây đạt × giá dịch vụ + cước.</v>
      </c>
    </row>
    <row r="24" ht="56" customHeight="1">
      <c r="A24" s="137" t="str">
        <v>Chi phí ươm hiện có trong cơ sở</v>
      </c>
      <c r="B24" s="144" t="n">
        <f>SUM(CHI_PHI_VU!G5:G9)</f>
        <v>17125000</v>
      </c>
      <c r="C24" s="137" t="str">
        <v>đồng</v>
      </c>
      <c r="D24" s="137" t="str">
        <v>CP01–CP05; chưa gồm phân bổ nhà ươm mới.</v>
      </c>
    </row>
    <row r="25" ht="56" customHeight="1">
      <c r="A25" s="137" t="str">
        <v>Chênh lệch trực tiếp</v>
      </c>
      <c r="B25" s="144" t="n">
        <f>B23-B24</f>
        <v>5825000</v>
      </c>
      <c r="C25" s="137" t="str">
        <v>đồng</v>
      </c>
      <c r="D25" s="137" t="str">
        <v>Chỉ chi phí cùng phạm vi; chưa thể kết luận ưu việt.</v>
      </c>
    </row>
    <row r="26" ht="56" customHeight="1">
      <c r="A26" s="137" t="str">
        <v>Nhà ươm mới khi đi từ đất trống</v>
      </c>
      <c r="B26" s="144" t="n">
        <f>TAI_SAN!C13</f>
        <v>25000000</v>
      </c>
      <c r="C26" s="137" t="str">
        <v>đồng</v>
      </c>
      <c r="D26" s="137" t="str">
        <v>Từ TS09; không mua nếu dùng cơ sở đối tác. Đây không phải số tiền chắc chắn tiết kiệm.</v>
      </c>
    </row>
    <row r="27" ht="56" customHeight="1">
      <c r="A27" s="137" t="str">
        <v>Giá dịch vụ ngang chi phí trực tiếp</v>
      </c>
      <c r="B27" s="144" t="n">
        <f>(B24-B22)/B20</f>
        <v>473.4848484848485</v>
      </c>
      <c r="C27" s="137" t="str">
        <v>đồng/cây</v>
      </c>
      <c r="D27" s="137" t="str">
        <v>(Chi phí ươm cơ sở − cước) / cây đạt.</v>
      </c>
    </row>
    <row r="28" ht="56" customHeight="1">
      <c r="A28" s="137" t="str">
        <v>Quy mô thử mỗi phương án</v>
      </c>
      <c r="B28" s="145" t="n">
        <v>300</v>
      </c>
      <c r="C28" s="137" t="str">
        <v>hạt</v>
      </c>
      <c r="D28" s="137" t="str">
        <v>3 khối × 100 hạt/phương án; thiết kế khởi tạo, không bảo đảm lực thống kê.</v>
      </c>
    </row>
    <row r="29" ht="56" customHeight="1">
      <c r="A29" s="137" t="str">
        <v>Tổng hạt cho hai phương án</v>
      </c>
      <c r="B29" s="144" t="n">
        <f>B28*2</f>
        <v>600</v>
      </c>
      <c r="C29" s="137" t="str">
        <v>hạt</v>
      </c>
      <c r="D29" s="137" t="str">
        <v>Khay và luống bảo vệ, cùng lô, ngẫu nhiên trong từng khối.</v>
      </c>
    </row>
    <row r="30" ht="32" customHeight="1">
      <c r="A30" s="137"/>
      <c r="B30" s="137"/>
      <c r="C30" s="137"/>
      <c r="D30" s="137"/>
    </row>
    <row r="31" ht="32" customHeight="1">
      <c r="A31" s="137"/>
      <c r="B31" s="137"/>
      <c r="C31" s="137"/>
      <c r="D31" s="137"/>
    </row>
    <row r="32" ht="54" customHeight="1">
      <c r="A32" s="140" t="str">
        <v>Khóa cùng ngày gieo, lô hạt, điều kiện bảo vệ, tưới và tiêu chí cây đạt. Đo nảy mầm, cây loại/chết rạp, rễ nguyên vẹn, công/cây đạt và sống ngày 7/14 sau trồng. Không gộp việc đổi nơi ươm với đổi xử lý hạt rồi quy kết một nguyên nhân.</v>
      </c>
      <c r="B32" s="140" t="str">
        <v>Khóa cùng ngày gieo, lô hạt, điều kiện bảo vệ, tưới và tiêu chí cây đạt. Đo nảy mầm, cây loại/chết rạp, rễ nguyên vẹn, công/cây đạt và sống ngày 7/14 sau trồng. Không gộp việc đổi nơi ươm với đổi xử lý hạt rồi quy kết một nguyên nhân.</v>
      </c>
      <c r="C32" s="140" t="str">
        <v>Khóa cùng ngày gieo, lô hạt, điều kiện bảo vệ, tưới và tiêu chí cây đạt. Đo nảy mầm, cây loại/chết rạp, rễ nguyên vẹn, công/cây đạt và sống ngày 7/14 sau trồng. Không gộp việc đổi nơi ươm với đổi xử lý hạt rồi quy kết một nguyên nhân.</v>
      </c>
      <c r="D32" s="140" t="str">
        <v>Khóa cùng ngày gieo, lô hạt, điều kiện bảo vệ, tưới và tiêu chí cây đạt. Đo nảy mầm, cây loại/chết rạp, rễ nguyên vẹn, công/cây đạt và sống ngày 7/14 sau trồng. Không gộp việc đổi nơi ươm với đổi xử lý hạt rồi quy kết một nguyên nhân.</v>
      </c>
    </row>
    <row r="33" ht="32" customHeight="1">
      <c r="A33" s="137"/>
      <c r="B33" s="137"/>
      <c r="C33" s="137"/>
      <c r="D33" s="137"/>
    </row>
    <row r="34" ht="54" customHeight="1">
      <c r="A34" s="140" t="str">
        <v>Phủ đất: mỗi phương án tối thiểu 3 ô lặp; ghi mã ô, diện tích thu thực, cỏ, nhiệt–ẩm, phút đọng nước, công, hạng quả và khối lượng vật liệu thu hồi. Không dùng ảnh tiêu đen làm ảnh ớt hoặc tự gắn tên CP04 lên ảnh chưa truy xuất.</v>
      </c>
      <c r="B34" s="140" t="str">
        <v>Phủ đất: mỗi phương án tối thiểu 3 ô lặp; ghi mã ô, diện tích thu thực, cỏ, nhiệt–ẩm, phút đọng nước, công, hạng quả và khối lượng vật liệu thu hồi. Không dùng ảnh tiêu đen làm ảnh ớt hoặc tự gắn tên CP04 lên ảnh chưa truy xuất.</v>
      </c>
      <c r="C34" s="140" t="str">
        <v>Phủ đất: mỗi phương án tối thiểu 3 ô lặp; ghi mã ô, diện tích thu thực, cỏ, nhiệt–ẩm, phút đọng nước, công, hạng quả và khối lượng vật liệu thu hồi. Không dùng ảnh tiêu đen làm ảnh ớt hoặc tự gắn tên CP04 lên ảnh chưa truy xuất.</v>
      </c>
      <c r="D34" s="140" t="str">
        <v>Phủ đất: mỗi phương án tối thiểu 3 ô lặp; ghi mã ô, diện tích thu thực, cỏ, nhiệt–ẩm, phút đọng nước, công, hạng quả và khối lượng vật liệu thu hồi. Không dùng ảnh tiêu đen làm ảnh ớt hoặc tự gắn tên CP04 lên ảnh chưa truy xuất.</v>
      </c>
    </row>
    <row r="35" ht="32" customHeight="1">
      <c r="A35" s="137"/>
      <c r="B35" s="137"/>
      <c r="C35" s="137"/>
      <c r="D35" s="137"/>
    </row>
    <row r="36" ht="54" customHeight="1">
      <c r="A36" s="140" t="str">
        <v>Nguồn kỹ thuật: Oklahoma State University – Pepper Production (làm cỏ nông, rễ); University of Minnesota Extension – How to prevent seedling damping off (vệ sinh, giá thể và tưới). Chi phí và thiết kế so sánh do Đông Sơn đề xuất, chưa phải kết quả nghiên cứu.</v>
      </c>
      <c r="B36" s="140" t="str">
        <v>Nguồn kỹ thuật: Oklahoma State University – Pepper Production (làm cỏ nông, rễ); University of Minnesota Extension – How to prevent seedling damping off (vệ sinh, giá thể và tưới). Chi phí và thiết kế so sánh do Đông Sơn đề xuất, chưa phải kết quả nghiên cứu.</v>
      </c>
      <c r="C36" s="140" t="str">
        <v>Nguồn kỹ thuật: Oklahoma State University – Pepper Production (làm cỏ nông, rễ); University of Minnesota Extension – How to prevent seedling damping off (vệ sinh, giá thể và tưới). Chi phí và thiết kế so sánh do Đông Sơn đề xuất, chưa phải kết quả nghiên cứu.</v>
      </c>
      <c r="D36" s="140" t="str">
        <v>Nguồn kỹ thuật: Oklahoma State University – Pepper Production (làm cỏ nông, rễ); University of Minnesota Extension – How to prevent seedling damping off (vệ sinh, giá thể và tưới). Chi phí và thiết kế so sánh do Đông Sơn đề xuất, chưa phải kết quả nghiên cứu.</v>
      </c>
    </row>
    <row r="37" ht="32" customHeight="1">
      <c r="A37" s="137"/>
      <c r="B37" s="137"/>
      <c r="C37" s="137"/>
      <c r="D37" s="137"/>
    </row>
    <row r="38" ht="54" customHeight="1">
      <c r="A38" s="140" t="str">
        <v>Các trang tính công khai được bảo vệ chống sửa thông thường. Khi cần thử giả định khác, liên hệ Đông Sơn để có bản làm việc phù hợp; không xem hạn chế chỉnh sửa là bảo vệ tuyệt đối.</v>
      </c>
      <c r="B38" s="140" t="str">
        <v>Các trang tính công khai được bảo vệ chống sửa thông thường. Khi cần thử giả định khác, liên hệ Đông Sơn để có bản làm việc phù hợp; không xem hạn chế chỉnh sửa là bảo vệ tuyệt đối.</v>
      </c>
      <c r="C38" s="140" t="str">
        <v>Các trang tính công khai được bảo vệ chống sửa thông thường. Khi cần thử giả định khác, liên hệ Đông Sơn để có bản làm việc phù hợp; không xem hạn chế chỉnh sửa là bảo vệ tuyệt đối.</v>
      </c>
      <c r="D38" s="140" t="str">
        <v>Các trang tính công khai được bảo vệ chống sửa thông thường. Khi cần thử giả định khác, liên hệ Đông Sơn để có bản làm việc phù hợp; không xem hạn chế chỉnh sửa là bảo vệ tuyệt đối.</v>
      </c>
    </row>
    <row r="39" ht="32" customHeight="1">
      <c r="A39" s="137"/>
      <c r="B39" s="137"/>
      <c r="C39" s="137"/>
      <c r="D39" s="137"/>
    </row>
  </sheetData>
  <sheetProtection password="B07A" sheet="1" objects="1" scenarios="1" formatCells="1" formatColumns="1" formatRows="1" insertColumns="1" insertRows="1" deleteColumns="1" deleteRows="1" selectLockedCells="0" selectUnlockedCells="0"/>
  <mergeCells>
    <mergeCell ref="A1:D1"/>
    <mergeCell ref="A2:D2"/>
    <mergeCell ref="A32:D32"/>
    <mergeCell ref="A34:D34"/>
    <mergeCell ref="A36:D36"/>
    <mergeCell ref="A38:D38"/>
  </mergeCells>
  <pageMargins left="0.7" right="0.7" top="0.75" bottom="0.75" header="0.3" footer="0.3"/>
  <pageSetup paperSize="9" orientation="landscape" fitToWidth="1" fitToHeight="0"/>
  <headerFooter>
    <oddFooter>&amp;L© DONGSON AGRIMEX · CP04 · Rev.E&amp;C&amp;BẢN CÔNG KHAI&amp;R&amp;P / &amp;N</oddFooter>
  </headerFooter>
</worksheet>
</file>

<file path=xl/worksheets/sheet19.xml><?xml version="1.0" encoding="utf-8"?>
<worksheet xmlns="http://schemas.openxmlformats.org/spreadsheetml/2006/main">
  <sheetPr>
    <pageSetUpPr fitToPage="1"/>
  </sheetPr>
  <sheetViews>
    <sheetView showGridLines="0" workbookViewId="0"/>
  </sheetViews>
  <sheetFormatPr defaultRowHeight="15"/>
  <cols>
    <col min="1" max="1" width="15" hidden="0" customWidth="1"/>
    <col min="2" max="2" width="17" hidden="0" customWidth="1"/>
    <col min="3" max="3" width="18" hidden="0" customWidth="1"/>
    <col min="4" max="4" width="18" hidden="0" customWidth="1"/>
    <col min="5" max="5" width="19" hidden="0" customWidth="1"/>
    <col min="6" max="6" width="19" hidden="0" customWidth="1"/>
    <col min="7" max="7" width="28" hidden="0" customWidth="1"/>
    <col min="8" max="8" width="55" hidden="0" customWidth="1"/>
  </cols>
  <sheetData>
    <row r="1" ht="40" customHeight="1">
      <c r="A1" s="139" t="str">
        <v>NHẬT KÝ MƯA MẪU · DỮ LIỆU GIẢ LẬP</v>
      </c>
      <c r="B1" s="139" t="str">
        <v>NHẬT KÝ MƯA MẪU · DỮ LIỆU GIẢ LẬP</v>
      </c>
      <c r="C1" s="139" t="str">
        <v>NHẬT KÝ MƯA MẪU · DỮ LIỆU GIẢ LẬP</v>
      </c>
      <c r="D1" s="139" t="str">
        <v>NHẬT KÝ MƯA MẪU · DỮ LIỆU GIẢ LẬP</v>
      </c>
      <c r="E1" s="139" t="str">
        <v>NHẬT KÝ MƯA MẪU · DỮ LIỆU GIẢ LẬP</v>
      </c>
      <c r="F1" s="139" t="str">
        <v>NHẬT KÝ MƯA MẪU · DỮ LIỆU GIẢ LẬP</v>
      </c>
      <c r="G1" s="139" t="str">
        <v>NHẬT KÝ MƯA MẪU · DỮ LIỆU GIẢ LẬP</v>
      </c>
      <c r="H1" s="139" t="str">
        <v>NHẬT KÝ MƯA MẪU · DỮ LIỆU GIẢ LẬP</v>
      </c>
    </row>
    <row r="2" ht="62" customHeight="1">
      <c r="A2" s="141" t="str">
        <v>Ví dụ học cách ghi, không phải số liệu B-FARM. Chốt lượng mưa 07:00 mỗi ngày; khoảng 24 giờ kết thúc tại ngày ghi. Chuỗi ngày mưa trong ví dụ tính từ ≥1 mm/ngày, chỉ là quy ước ghi chép.</v>
      </c>
      <c r="B2" s="141" t="str">
        <v>Ví dụ học cách ghi, không phải số liệu B-FARM. Chốt lượng mưa 07:00 mỗi ngày; khoảng 24 giờ kết thúc tại ngày ghi. Chuỗi ngày mưa trong ví dụ tính từ ≥1 mm/ngày, chỉ là quy ước ghi chép.</v>
      </c>
      <c r="C2" s="141" t="str">
        <v>Ví dụ học cách ghi, không phải số liệu B-FARM. Chốt lượng mưa 07:00 mỗi ngày; khoảng 24 giờ kết thúc tại ngày ghi. Chuỗi ngày mưa trong ví dụ tính từ ≥1 mm/ngày, chỉ là quy ước ghi chép.</v>
      </c>
      <c r="D2" s="141" t="str">
        <v>Ví dụ học cách ghi, không phải số liệu B-FARM. Chốt lượng mưa 07:00 mỗi ngày; khoảng 24 giờ kết thúc tại ngày ghi. Chuỗi ngày mưa trong ví dụ tính từ ≥1 mm/ngày, chỉ là quy ước ghi chép.</v>
      </c>
      <c r="E2" s="141" t="str">
        <v>Ví dụ học cách ghi, không phải số liệu B-FARM. Chốt lượng mưa 07:00 mỗi ngày; khoảng 24 giờ kết thúc tại ngày ghi. Chuỗi ngày mưa trong ví dụ tính từ ≥1 mm/ngày, chỉ là quy ước ghi chép.</v>
      </c>
      <c r="F2" s="141" t="str">
        <v>Ví dụ học cách ghi, không phải số liệu B-FARM. Chốt lượng mưa 07:00 mỗi ngày; khoảng 24 giờ kết thúc tại ngày ghi. Chuỗi ngày mưa trong ví dụ tính từ ≥1 mm/ngày, chỉ là quy ước ghi chép.</v>
      </c>
      <c r="G2" s="141" t="str">
        <v>Ví dụ học cách ghi, không phải số liệu B-FARM. Chốt lượng mưa 07:00 mỗi ngày; khoảng 24 giờ kết thúc tại ngày ghi. Chuỗi ngày mưa trong ví dụ tính từ ≥1 mm/ngày, chỉ là quy ước ghi chép.</v>
      </c>
      <c r="H2" s="141" t="str">
        <v>Ví dụ học cách ghi, không phải số liệu B-FARM. Chốt lượng mưa 07:00 mỗi ngày; khoảng 24 giờ kết thúc tại ngày ghi. Chuỗi ngày mưa trong ví dụ tính từ ≥1 mm/ngày, chỉ là quy ước ghi chép.</v>
      </c>
    </row>
    <row r="3" ht="32" customHeight="1">
      <c r="A3" s="137"/>
      <c r="B3" s="137"/>
      <c r="C3" s="137"/>
      <c r="D3" s="137"/>
      <c r="E3" s="137"/>
      <c r="F3" s="137"/>
      <c r="G3" s="137"/>
      <c r="H3" s="137"/>
    </row>
    <row r="4" ht="34" customHeight="1">
      <c r="A4" s="142" t="str">
        <v>Ngày mẫu</v>
      </c>
      <c r="B4" s="142" t="str">
        <v>Mưa 24 giờ mm</v>
      </c>
      <c r="C4" s="142" t="str">
        <v>Lũy kế 72 giờ mm</v>
      </c>
      <c r="D4" s="142" t="str">
        <v>Ngày mưa liên tục</v>
      </c>
      <c r="E4" s="142" t="str">
        <v>Nước lớn nhất cm</v>
      </c>
      <c r="F4" s="142" t="str">
        <v>Tiêu nước phút</v>
      </c>
      <c r="G4" s="142" t="str">
        <v>Cảnh báo vận hành</v>
      </c>
      <c r="H4" s="142" t="str">
        <v>Hành động mẫu</v>
      </c>
    </row>
    <row r="5" ht="58" customHeight="1">
      <c r="A5" s="137" t="str">
        <v>Ngày 1</v>
      </c>
      <c r="B5" s="143" t="n">
        <v>0</v>
      </c>
      <c r="C5" s="137" t="str">
        <v>Chưa đủ 3 ngày</v>
      </c>
      <c r="D5" s="137" t="n">
        <f>IF(B5&gt;=1,1,0)</f>
        <v>0</v>
      </c>
      <c r="E5" s="143" t="n">
        <v>0</v>
      </c>
      <c r="F5" s="143" t="n">
        <v>0</v>
      </c>
      <c r="G5" s="137" t="str">
        <f>IF(F5&gt;60,"Xử lý ngay",IF(OR(E5&gt;0,D5&gt;=3),"Theo dõi tăng cường","Ghi nhận"))</f>
        <v>Ghi nhận</v>
      </c>
      <c r="H5" s="137" t="str">
        <v>Chưa có dữ liệu 2 ngày trước, không tự đặt bằng 0.</v>
      </c>
    </row>
    <row r="6" ht="58" customHeight="1">
      <c r="A6" s="137" t="str">
        <v>Ngày 2</v>
      </c>
      <c r="B6" s="143" t="n">
        <v>12</v>
      </c>
      <c r="C6" s="137" t="str">
        <v>Chưa đủ 3 ngày</v>
      </c>
      <c r="D6" s="137" t="n">
        <f>IF(B6&gt;=1,D5+1,0)</f>
        <v>1</v>
      </c>
      <c r="E6" s="143" t="n">
        <v>0</v>
      </c>
      <c r="F6" s="143" t="n">
        <v>0</v>
      </c>
      <c r="G6" s="137" t="str">
        <f>IF(F6&gt;60,"Xử lý ngay",IF(OR(E6&gt;0,D6&gt;=3),"Theo dõi tăng cường","Ghi nhận"))</f>
        <v>Ghi nhận</v>
      </c>
      <c r="H6" s="137" t="str">
        <v>Kiểm rãnh và điểm thấp.</v>
      </c>
    </row>
    <row r="7" ht="58" customHeight="1">
      <c r="A7" s="137" t="str">
        <v>Ngày 3</v>
      </c>
      <c r="B7" s="143" t="n">
        <v>38</v>
      </c>
      <c r="C7" s="137" t="n">
        <f>SUM(B5:B7)</f>
        <v>50</v>
      </c>
      <c r="D7" s="137" t="n">
        <f>IF(B7&gt;=1,D6+1,0)</f>
        <v>2</v>
      </c>
      <c r="E7" s="143" t="n">
        <v>1</v>
      </c>
      <c r="F7" s="143" t="n">
        <v>35</v>
      </c>
      <c r="G7" s="137" t="str">
        <f>IF(F7&gt;60,"Xử lý ngay",IF(OR(E7&gt;0,D7&gt;=3),"Theo dõi tăng cường","Ghi nhận"))</f>
        <v>Theo dõi tăng cường</v>
      </c>
      <c r="H7" s="137" t="str">
        <v>Theo dõi mưa liên tiếp; dừng tưới theo ẩm đất.</v>
      </c>
    </row>
    <row r="8" ht="58" customHeight="1">
      <c r="A8" s="137" t="str">
        <v>Ngày 4</v>
      </c>
      <c r="B8" s="143" t="n">
        <v>65</v>
      </c>
      <c r="C8" s="137" t="n">
        <f>SUM(B6:B8)</f>
        <v>115</v>
      </c>
      <c r="D8" s="137" t="n">
        <f>IF(B8&gt;=1,D7+1,0)</f>
        <v>3</v>
      </c>
      <c r="E8" s="143" t="n">
        <v>3</v>
      </c>
      <c r="F8" s="143" t="n">
        <v>95</v>
      </c>
      <c r="G8" s="137" t="str">
        <f>IF(F8&gt;60,"Xử lý ngay",IF(OR(E8&gt;0,D8&gt;=3),"Theo dõi tăng cường","Ghi nhận"))</f>
        <v>Xử lý ngay</v>
      </c>
      <c r="H8" s="137" t="str">
        <v>Bơm tiêu an toàn, khoanh vùng, lấy mẫu khi nghi bệnh.</v>
      </c>
    </row>
    <row r="9" ht="58" customHeight="1">
      <c r="A9" s="137" t="str">
        <v>Ngày 5</v>
      </c>
      <c r="B9" s="143" t="n">
        <v>8</v>
      </c>
      <c r="C9" s="137" t="n">
        <f>SUM(B7:B9)</f>
        <v>111</v>
      </c>
      <c r="D9" s="137" t="n">
        <f>IF(B9&gt;=1,D8+1,0)</f>
        <v>4</v>
      </c>
      <c r="E9" s="143" t="n">
        <v>0</v>
      </c>
      <c r="F9" s="143" t="n">
        <v>0</v>
      </c>
      <c r="G9" s="137" t="str">
        <f>IF(F9&gt;60,"Xử lý ngay",IF(OR(E9&gt;0,D9&gt;=3),"Theo dõi tăng cường","Ghi nhận"))</f>
        <v>Theo dõi tăng cường</v>
      </c>
      <c r="H9" s="137" t="str">
        <v>Hết nước mặt không đồng nghĩa vùng rễ đã thông khí.</v>
      </c>
    </row>
    <row r="10" ht="58" customHeight="1">
      <c r="A10" s="137" t="str">
        <v>Ngày 6</v>
      </c>
      <c r="B10" s="143" t="n">
        <v>0</v>
      </c>
      <c r="C10" s="137" t="n">
        <f>SUM(B8:B10)</f>
        <v>73</v>
      </c>
      <c r="D10" s="137" t="n">
        <f>IF(B10&gt;=1,D9+1,0)</f>
        <v>0</v>
      </c>
      <c r="E10" s="143" t="n">
        <v>0</v>
      </c>
      <c r="F10" s="143" t="n">
        <v>0</v>
      </c>
      <c r="G10" s="137" t="str">
        <f>IF(F10&gt;60,"Xử lý ngay",IF(OR(E10&gt;0,D10&gt;=3),"Theo dõi tăng cường","Ghi nhận"))</f>
        <v>Ghi nhận</v>
      </c>
      <c r="H10" s="137" t="str">
        <v>Kiểm lại ẩm và cây héo tại điểm cũ.</v>
      </c>
    </row>
    <row r="11" ht="58" customHeight="1">
      <c r="A11" s="137" t="str">
        <v>Ngày 7</v>
      </c>
      <c r="B11" s="143" t="n">
        <v>22</v>
      </c>
      <c r="C11" s="137" t="n">
        <f>SUM(B9:B11)</f>
        <v>30</v>
      </c>
      <c r="D11" s="137" t="n">
        <f>IF(B11&gt;=1,D10+1,0)</f>
        <v>1</v>
      </c>
      <c r="E11" s="143" t="n">
        <v>1</v>
      </c>
      <c r="F11" s="143" t="n">
        <v>40</v>
      </c>
      <c r="G11" s="137" t="str">
        <f>IF(F11&gt;60,"Xử lý ngay",IF(OR(E11&gt;0,D11&gt;=3),"Theo dõi tăng cường","Ghi nhận"))</f>
        <v>Theo dõi tăng cường</v>
      </c>
      <c r="H11" s="137" t="str">
        <v>Theo dõi ô thấp và dự báo tiếp theo.</v>
      </c>
    </row>
    <row r="12" ht="32" customHeight="1">
      <c r="A12" s="137"/>
      <c r="B12" s="137"/>
      <c r="C12" s="137"/>
      <c r="D12" s="137"/>
      <c r="E12" s="137"/>
      <c r="F12" s="137"/>
      <c r="G12" s="137"/>
      <c r="H12" s="137"/>
    </row>
    <row r="13" ht="54" customHeight="1">
      <c r="A13" s="140" t="str">
        <v>60 phút là mốc cảnh báo khởi tạo: xử lý ngay khi thấy nước đọng, không chờ đủ 60 phút. Không có ngưỡng mm mưa hoặc số ngày mưa nào tự chứng minh cây chắc chắn chết.</v>
      </c>
      <c r="B13" s="140" t="str">
        <v>60 phút là mốc cảnh báo khởi tạo: xử lý ngay khi thấy nước đọng, không chờ đủ 60 phút. Không có ngưỡng mm mưa hoặc số ngày mưa nào tự chứng minh cây chắc chắn chết.</v>
      </c>
      <c r="C13" s="140" t="str">
        <v>60 phút là mốc cảnh báo khởi tạo: xử lý ngay khi thấy nước đọng, không chờ đủ 60 phút. Không có ngưỡng mm mưa hoặc số ngày mưa nào tự chứng minh cây chắc chắn chết.</v>
      </c>
      <c r="D13" s="140" t="str">
        <v>60 phút là mốc cảnh báo khởi tạo: xử lý ngay khi thấy nước đọng, không chờ đủ 60 phút. Không có ngưỡng mm mưa hoặc số ngày mưa nào tự chứng minh cây chắc chắn chết.</v>
      </c>
      <c r="E13" s="140" t="str">
        <v>60 phút là mốc cảnh báo khởi tạo: xử lý ngay khi thấy nước đọng, không chờ đủ 60 phút. Không có ngưỡng mm mưa hoặc số ngày mưa nào tự chứng minh cây chắc chắn chết.</v>
      </c>
      <c r="F13" s="140" t="str">
        <v>60 phút là mốc cảnh báo khởi tạo: xử lý ngay khi thấy nước đọng, không chờ đủ 60 phút. Không có ngưỡng mm mưa hoặc số ngày mưa nào tự chứng minh cây chắc chắn chết.</v>
      </c>
      <c r="G13" s="140" t="str">
        <v>60 phút là mốc cảnh báo khởi tạo: xử lý ngay khi thấy nước đọng, không chờ đủ 60 phút. Không có ngưỡng mm mưa hoặc số ngày mưa nào tự chứng minh cây chắc chắn chết.</v>
      </c>
      <c r="H13" s="140" t="str">
        <v>60 phút là mốc cảnh báo khởi tạo: xử lý ngay khi thấy nước đọng, không chờ đủ 60 phút. Không có ngưỡng mm mưa hoặc số ngày mưa nào tự chứng minh cây chắc chắn chết.</v>
      </c>
    </row>
    <row r="14" ht="32" customHeight="1">
      <c r="A14" s="137"/>
      <c r="B14" s="137"/>
      <c r="C14" s="137"/>
      <c r="D14" s="137"/>
      <c r="E14" s="137"/>
      <c r="F14" s="137"/>
      <c r="G14" s="137"/>
      <c r="H14" s="137"/>
    </row>
    <row r="15" ht="54" customHeight="1">
      <c r="A15" s="140" t="str">
        <v>Bổ sung ngoài bảng: mã lô/điểm, giờ bắt đầu–kết thúc mưa, giờ hết nước mặt, ẩm đất 15/30 cm theo hiệu chuẩn, tỷ lệ cây mới bệnh trên mẫu cố định, ảnh cùng góc, người xử lý, giờ công và mã mẫu chẩn đoán.</v>
      </c>
      <c r="B15" s="140" t="str">
        <v>Bổ sung ngoài bảng: mã lô/điểm, giờ bắt đầu–kết thúc mưa, giờ hết nước mặt, ẩm đất 15/30 cm theo hiệu chuẩn, tỷ lệ cây mới bệnh trên mẫu cố định, ảnh cùng góc, người xử lý, giờ công và mã mẫu chẩn đoán.</v>
      </c>
      <c r="C15" s="140" t="str">
        <v>Bổ sung ngoài bảng: mã lô/điểm, giờ bắt đầu–kết thúc mưa, giờ hết nước mặt, ẩm đất 15/30 cm theo hiệu chuẩn, tỷ lệ cây mới bệnh trên mẫu cố định, ảnh cùng góc, người xử lý, giờ công và mã mẫu chẩn đoán.</v>
      </c>
      <c r="D15" s="140" t="str">
        <v>Bổ sung ngoài bảng: mã lô/điểm, giờ bắt đầu–kết thúc mưa, giờ hết nước mặt, ẩm đất 15/30 cm theo hiệu chuẩn, tỷ lệ cây mới bệnh trên mẫu cố định, ảnh cùng góc, người xử lý, giờ công và mã mẫu chẩn đoán.</v>
      </c>
      <c r="E15" s="140" t="str">
        <v>Bổ sung ngoài bảng: mã lô/điểm, giờ bắt đầu–kết thúc mưa, giờ hết nước mặt, ẩm đất 15/30 cm theo hiệu chuẩn, tỷ lệ cây mới bệnh trên mẫu cố định, ảnh cùng góc, người xử lý, giờ công và mã mẫu chẩn đoán.</v>
      </c>
      <c r="F15" s="140" t="str">
        <v>Bổ sung ngoài bảng: mã lô/điểm, giờ bắt đầu–kết thúc mưa, giờ hết nước mặt, ẩm đất 15/30 cm theo hiệu chuẩn, tỷ lệ cây mới bệnh trên mẫu cố định, ảnh cùng góc, người xử lý, giờ công và mã mẫu chẩn đoán.</v>
      </c>
      <c r="G15" s="140" t="str">
        <v>Bổ sung ngoài bảng: mã lô/điểm, giờ bắt đầu–kết thúc mưa, giờ hết nước mặt, ẩm đất 15/30 cm theo hiệu chuẩn, tỷ lệ cây mới bệnh trên mẫu cố định, ảnh cùng góc, người xử lý, giờ công và mã mẫu chẩn đoán.</v>
      </c>
      <c r="H15" s="140" t="str">
        <v>Bổ sung ngoài bảng: mã lô/điểm, giờ bắt đầu–kết thúc mưa, giờ hết nước mặt, ẩm đất 15/30 cm theo hiệu chuẩn, tỷ lệ cây mới bệnh trên mẫu cố định, ảnh cùng góc, người xử lý, giờ công và mã mẫu chẩn đoán.</v>
      </c>
    </row>
    <row r="16" ht="32" customHeight="1">
      <c r="A16" s="137"/>
      <c r="B16" s="137"/>
      <c r="C16" s="137"/>
      <c r="D16" s="137"/>
      <c r="E16" s="137"/>
      <c r="F16" s="137"/>
      <c r="G16" s="137"/>
      <c r="H16" s="137"/>
    </row>
    <row r="17" ht="54" customHeight="1">
      <c r="A17" s="140" t="str">
        <v>Tại 1 ha: đề xuất 5 điểm đo cố định, trong đó có điểm thấp; ghi riêng điểm thấp để không che mất rủi ro bởi giá trị trung bình. Kiểm sau 24/48 giờ và hằng ngày khi còn ẩm kéo dài hoặc phát sinh triệu chứng.</v>
      </c>
      <c r="B17" s="140" t="str">
        <v>Tại 1 ha: đề xuất 5 điểm đo cố định, trong đó có điểm thấp; ghi riêng điểm thấp để không che mất rủi ro bởi giá trị trung bình. Kiểm sau 24/48 giờ và hằng ngày khi còn ẩm kéo dài hoặc phát sinh triệu chứng.</v>
      </c>
      <c r="C17" s="140" t="str">
        <v>Tại 1 ha: đề xuất 5 điểm đo cố định, trong đó có điểm thấp; ghi riêng điểm thấp để không che mất rủi ro bởi giá trị trung bình. Kiểm sau 24/48 giờ và hằng ngày khi còn ẩm kéo dài hoặc phát sinh triệu chứng.</v>
      </c>
      <c r="D17" s="140" t="str">
        <v>Tại 1 ha: đề xuất 5 điểm đo cố định, trong đó có điểm thấp; ghi riêng điểm thấp để không che mất rủi ro bởi giá trị trung bình. Kiểm sau 24/48 giờ và hằng ngày khi còn ẩm kéo dài hoặc phát sinh triệu chứng.</v>
      </c>
      <c r="E17" s="140" t="str">
        <v>Tại 1 ha: đề xuất 5 điểm đo cố định, trong đó có điểm thấp; ghi riêng điểm thấp để không che mất rủi ro bởi giá trị trung bình. Kiểm sau 24/48 giờ và hằng ngày khi còn ẩm kéo dài hoặc phát sinh triệu chứng.</v>
      </c>
      <c r="F17" s="140" t="str">
        <v>Tại 1 ha: đề xuất 5 điểm đo cố định, trong đó có điểm thấp; ghi riêng điểm thấp để không che mất rủi ro bởi giá trị trung bình. Kiểm sau 24/48 giờ và hằng ngày khi còn ẩm kéo dài hoặc phát sinh triệu chứng.</v>
      </c>
      <c r="G17" s="140" t="str">
        <v>Tại 1 ha: đề xuất 5 điểm đo cố định, trong đó có điểm thấp; ghi riêng điểm thấp để không che mất rủi ro bởi giá trị trung bình. Kiểm sau 24/48 giờ và hằng ngày khi còn ẩm kéo dài hoặc phát sinh triệu chứng.</v>
      </c>
      <c r="H17" s="140" t="str">
        <v>Tại 1 ha: đề xuất 5 điểm đo cố định, trong đó có điểm thấp; ghi riêng điểm thấp để không che mất rủi ro bởi giá trị trung bình. Kiểm sau 24/48 giờ và hằng ngày khi còn ẩm kéo dài hoặc phát sinh triệu chứng.</v>
      </c>
    </row>
  </sheetData>
  <sheetProtection password="B07A" sheet="1" objects="1" scenarios="1" formatCells="1" formatColumns="1" formatRows="1" insertColumns="1" insertRows="1" deleteColumns="1" deleteRows="1" selectLockedCells="0" selectUnlockedCells="0"/>
  <mergeCells>
    <mergeCell ref="A1:H1"/>
    <mergeCell ref="A2:H2"/>
    <mergeCell ref="A13:H13"/>
    <mergeCell ref="A15:H15"/>
    <mergeCell ref="A17:H17"/>
  </mergeCells>
  <pageMargins left="0.7" right="0.7" top="0.75" bottom="0.75" header="0.3" footer="0.3"/>
  <pageSetup paperSize="9" orientation="landscape" fitToWidth="1" fitToHeight="0"/>
  <headerFooter>
    <oddFooter>&amp;L© DONGSON AGRIMEX · CP04 · Rev.E&amp;C&amp;BẢN CÔNG KHAI&amp;R&amp;P / &amp;N</oddFooter>
  </headerFooter>
</worksheet>
</file>

<file path=xl/worksheets/sheet20.xml><?xml version="1.0" encoding="utf-8"?>
<worksheet xmlns="http://schemas.openxmlformats.org/spreadsheetml/2006/main">
  <sheetPr>
    <pageSetUpPr fitToPage="1"/>
  </sheetPr>
  <sheetViews>
    <sheetView showGridLines="0" workbookViewId="0"/>
  </sheetViews>
  <sheetFormatPr defaultRowHeight="15"/>
  <cols>
    <col min="1" max="1" width="30" hidden="0" customWidth="1"/>
    <col min="2" max="2" width="30" hidden="0" customWidth="1"/>
    <col min="3" max="3" width="30" hidden="0" customWidth="1"/>
    <col min="4" max="4" width="30" hidden="0" customWidth="1"/>
  </cols>
  <sheetData>
    <row r="1" ht="40" customHeight="1">
      <c r="A1" s="139" t="str">
        <v>DONGSON AGRIMEX · QUYỀN TÁC GIẢ</v>
      </c>
      <c r="B1" s="139" t="str">
        <v>DONGSON AGRIMEX · QUYỀN TÁC GIẢ</v>
      </c>
      <c r="C1" s="139" t="str">
        <v>DONGSON AGRIMEX · QUYỀN TÁC GIẢ</v>
      </c>
      <c r="D1" s="139" t="str">
        <v>DONGSON AGRIMEX · QUYỀN TÁC GIẢ</v>
      </c>
    </row>
    <row r="2" ht="62" customHeight="1">
      <c r="A2" s="141" t="str">
        <v>Rev.E · 05.09.2026 · Bản công khai dành cho đọc, in và nghiên cứu.</v>
      </c>
      <c r="B2" s="141" t="str">
        <v>Rev.E · 05.09.2026 · Bản công khai dành cho đọc, in và nghiên cứu.</v>
      </c>
      <c r="C2" s="141" t="str">
        <v>Rev.E · 05.09.2026 · Bản công khai dành cho đọc, in và nghiên cứu.</v>
      </c>
      <c r="D2" s="141" t="str">
        <v>Rev.E · 05.09.2026 · Bản công khai dành cho đọc, in và nghiên cứu.</v>
      </c>
    </row>
    <row r="3" ht="32" customHeight="1">
      <c r="A3" s="137"/>
      <c r="B3" s="137"/>
      <c r="C3" s="137"/>
      <c r="D3" s="137"/>
    </row>
    <row r="4" ht="54" customHeight="1">
      <c r="A4" s="140" t="str">
        <v>Chủ thể quyền đối với phần biên soạn, tổng hợp, lựa chọn, cấu trúc, biểu mẫu, mô hình và thiết kế do Đông Sơn tạo: Công ty Cổ phần Nông nghiệp Quốc tế Đông Sơn (DONGSON AGRIMEX).</v>
      </c>
      <c r="B4" s="140" t="str">
        <v>Chủ thể quyền đối với phần biên soạn, tổng hợp, lựa chọn, cấu trúc, biểu mẫu, mô hình và thiết kế do Đông Sơn tạo: Công ty Cổ phần Nông nghiệp Quốc tế Đông Sơn (DONGSON AGRIMEX).</v>
      </c>
      <c r="C4" s="140" t="str">
        <v>Chủ thể quyền đối với phần biên soạn, tổng hợp, lựa chọn, cấu trúc, biểu mẫu, mô hình và thiết kế do Đông Sơn tạo: Công ty Cổ phần Nông nghiệp Quốc tế Đông Sơn (DONGSON AGRIMEX).</v>
      </c>
      <c r="D4" s="140" t="str">
        <v>Chủ thể quyền đối với phần biên soạn, tổng hợp, lựa chọn, cấu trúc, biểu mẫu, mô hình và thiết kế do Đông Sơn tạo: Công ty Cổ phần Nông nghiệp Quốc tế Đông Sơn (DONGSON AGRIMEX).</v>
      </c>
    </row>
    <row r="5" ht="32" customHeight="1">
      <c r="A5" s="137"/>
      <c r="B5" s="137"/>
      <c r="C5" s="137"/>
      <c r="D5" s="137"/>
    </row>
    <row r="6" ht="54" customHeight="1">
      <c r="A6" s="140" t="str">
        <v>Tài liệu của cơ quan nhà nước, tiêu chuẩn, dữ liệu, hình ảnh và nghiên cứu bên thứ ba giữ nguyên quyền của chủ thể tương ứng. Quyền tác giả Đông Sơn không bao trùm các quyền này hoặc kiến thức nông học phổ quát.</v>
      </c>
      <c r="B6" s="140" t="str">
        <v>Tài liệu của cơ quan nhà nước, tiêu chuẩn, dữ liệu, hình ảnh và nghiên cứu bên thứ ba giữ nguyên quyền của chủ thể tương ứng. Quyền tác giả Đông Sơn không bao trùm các quyền này hoặc kiến thức nông học phổ quát.</v>
      </c>
      <c r="C6" s="140" t="str">
        <v>Tài liệu của cơ quan nhà nước, tiêu chuẩn, dữ liệu, hình ảnh và nghiên cứu bên thứ ba giữ nguyên quyền của chủ thể tương ứng. Quyền tác giả Đông Sơn không bao trùm các quyền này hoặc kiến thức nông học phổ quát.</v>
      </c>
      <c r="D6" s="140" t="str">
        <v>Tài liệu của cơ quan nhà nước, tiêu chuẩn, dữ liệu, hình ảnh và nghiên cứu bên thứ ba giữ nguyên quyền của chủ thể tương ứng. Quyền tác giả Đông Sơn không bao trùm các quyền này hoặc kiến thức nông học phổ quát.</v>
      </c>
    </row>
    <row r="7" ht="32" customHeight="1">
      <c r="A7" s="137"/>
      <c r="B7" s="137"/>
      <c r="C7" s="137"/>
      <c r="D7" s="137"/>
    </row>
    <row r="8" ht="54" customHeight="1">
      <c r="A8" s="140" t="str">
        <v>Được tải, đọc và in để nghiên cứu chương trình; khi trích dẫn cần ghi nguồn Đông Sơn và phiên bản. Không tự gỡ tên tác giả, đổi xuất xứ hoặc dùng bản sửa đổi dưới danh nghĩa tài liệu chính thức của Đông Sơn.</v>
      </c>
      <c r="B8" s="140" t="str">
        <v>Được tải, đọc và in để nghiên cứu chương trình; khi trích dẫn cần ghi nguồn Đông Sơn và phiên bản. Không tự gỡ tên tác giả, đổi xuất xứ hoặc dùng bản sửa đổi dưới danh nghĩa tài liệu chính thức của Đông Sơn.</v>
      </c>
      <c r="C8" s="140" t="str">
        <v>Được tải, đọc và in để nghiên cứu chương trình; khi trích dẫn cần ghi nguồn Đông Sơn và phiên bản. Không tự gỡ tên tác giả, đổi xuất xứ hoặc dùng bản sửa đổi dưới danh nghĩa tài liệu chính thức của Đông Sơn.</v>
      </c>
      <c r="D8" s="140" t="str">
        <v>Được tải, đọc và in để nghiên cứu chương trình; khi trích dẫn cần ghi nguồn Đông Sơn và phiên bản. Không tự gỡ tên tác giả, đổi xuất xứ hoặc dùng bản sửa đổi dưới danh nghĩa tài liệu chính thức của Đông Sơn.</v>
      </c>
    </row>
    <row r="9" ht="32" customHeight="1">
      <c r="A9" s="137"/>
      <c r="B9" s="137"/>
      <c r="C9" s="137"/>
      <c r="D9" s="137"/>
    </row>
    <row r="10" ht="54" customHeight="1">
      <c r="A10" s="140" t="str">
        <v>Bảo vệ trang tính và cấu trúc chỉ hạn chế thao tác sửa thông thường, không phải mã hóa chống sao chép tuyệt đối. Mã kiểm tra SHA-256 của file phát hành được công bố trên website.</v>
      </c>
      <c r="B10" s="140" t="str">
        <v>Bảo vệ trang tính và cấu trúc chỉ hạn chế thao tác sửa thông thường, không phải mã hóa chống sao chép tuyệt đối. Mã kiểm tra SHA-256 của file phát hành được công bố trên website.</v>
      </c>
      <c r="C10" s="140" t="str">
        <v>Bảo vệ trang tính và cấu trúc chỉ hạn chế thao tác sửa thông thường, không phải mã hóa chống sao chép tuyệt đối. Mã kiểm tra SHA-256 của file phát hành được công bố trên website.</v>
      </c>
      <c r="D10" s="140" t="str">
        <v>Bảo vệ trang tính và cấu trúc chỉ hạn chế thao tác sửa thông thường, không phải mã hóa chống sao chép tuyệt đối. Mã kiểm tra SHA-256 của file phát hành được công bố trên website.</v>
      </c>
    </row>
    <row r="11" ht="32" customHeight="1">
      <c r="A11" s="137"/>
      <c r="B11" s="137"/>
      <c r="C11" s="137"/>
      <c r="D11" s="137"/>
    </row>
    <row r="12" ht="54" customHeight="1">
      <c r="A12" s="140" t="str">
        <v>Bản cập nhật bổ sung ghi chú mưa, úng, quản lý cỏ, thu hồi vật liệu và vườn ươm. Không tự xác nhận chứng nhận hữu cơ, hiệu quả giống riêng, năng suất, giá mua hoặc phê duyệt đầu tư.</v>
      </c>
      <c r="B12" s="140" t="str">
        <v>Bản cập nhật bổ sung ghi chú mưa, úng, quản lý cỏ, thu hồi vật liệu và vườn ươm. Không tự xác nhận chứng nhận hữu cơ, hiệu quả giống riêng, năng suất, giá mua hoặc phê duyệt đầu tư.</v>
      </c>
      <c r="C12" s="140" t="str">
        <v>Bản cập nhật bổ sung ghi chú mưa, úng, quản lý cỏ, thu hồi vật liệu và vườn ươm. Không tự xác nhận chứng nhận hữu cơ, hiệu quả giống riêng, năng suất, giá mua hoặc phê duyệt đầu tư.</v>
      </c>
      <c r="D12" s="140" t="str">
        <v>Bản cập nhật bổ sung ghi chú mưa, úng, quản lý cỏ, thu hồi vật liệu và vườn ươm. Không tự xác nhận chứng nhận hữu cơ, hiệu quả giống riêng, năng suất, giá mua hoặc phê duyệt đầu tư.</v>
      </c>
    </row>
    <row r="13" ht="32" customHeight="1">
      <c r="A13" s="137"/>
      <c r="B13" s="137"/>
      <c r="C13" s="137"/>
      <c r="D13" s="137"/>
    </row>
    <row r="14" ht="54" customHeight="1">
      <c r="A14" s="140" t="str">
        <v>Nguồn mới truy cập 05.09.2026: https://content.ces.ncsu.edu/phytophthora-blight-of-peppers ; https://extension.okstate.edu/fact-sheets/pepper-production ; University of Minnesota Extension: How to prevent seedling damping off.</v>
      </c>
      <c r="B14" s="140" t="str">
        <v>Nguồn mới truy cập 05.09.2026: https://content.ces.ncsu.edu/phytophthora-blight-of-peppers ; https://extension.okstate.edu/fact-sheets/pepper-production ; University of Minnesota Extension: How to prevent seedling damping off.</v>
      </c>
      <c r="C14" s="140" t="str">
        <v>Nguồn mới truy cập 05.09.2026: https://content.ces.ncsu.edu/phytophthora-blight-of-peppers ; https://extension.okstate.edu/fact-sheets/pepper-production ; University of Minnesota Extension: How to prevent seedling damping off.</v>
      </c>
      <c r="D14" s="140" t="str">
        <v>Nguồn mới truy cập 05.09.2026: https://content.ces.ncsu.edu/phytophthora-blight-of-peppers ; https://extension.okstate.edu/fact-sheets/pepper-production ; University of Minnesota Extension: How to prevent seedling damping off.</v>
      </c>
    </row>
    <row r="15" ht="32" customHeight="1">
      <c r="A15" s="137"/>
      <c r="B15" s="137"/>
      <c r="C15" s="137"/>
      <c r="D15" s="137"/>
    </row>
    <row r="16" ht="54" customHeight="1">
      <c r="A16" s="140" t="str">
        <v>Bản chính thức và thông tin hợp tác: https://dongsonagrimex.vn/nong-san · sales@dongsonagrimex.vn.</v>
      </c>
      <c r="B16" s="140" t="str">
        <v>Bản chính thức và thông tin hợp tác: https://dongsonagrimex.vn/nong-san · sales@dongsonagrimex.vn.</v>
      </c>
      <c r="C16" s="140" t="str">
        <v>Bản chính thức và thông tin hợp tác: https://dongsonagrimex.vn/nong-san · sales@dongsonagrimex.vn.</v>
      </c>
      <c r="D16" s="140" t="str">
        <v>Bản chính thức và thông tin hợp tác: https://dongsonagrimex.vn/nong-san · sales@dongsonagrimex.vn.</v>
      </c>
    </row>
  </sheetData>
  <sheetProtection password="B07A" sheet="1" objects="1" scenarios="1" formatCells="1" formatColumns="1" formatRows="1" insertColumns="1" insertRows="1" deleteColumns="1" deleteRows="1" selectLockedCells="0" selectUnlockedCells="0"/>
  <mergeCells>
    <mergeCell ref="A1:D1"/>
    <mergeCell ref="A2:D2"/>
    <mergeCell ref="A4:D4"/>
    <mergeCell ref="A6:D6"/>
    <mergeCell ref="A8:D8"/>
    <mergeCell ref="A10:D10"/>
    <mergeCell ref="A12:D12"/>
    <mergeCell ref="A14:D14"/>
    <mergeCell ref="A16:D16"/>
  </mergeCells>
  <pageMargins left="0.7" right="0.7" top="0.75" bottom="0.75" header="0.3" footer="0.3"/>
  <pageSetup paperSize="9" orientation="landscape" fitToWidth="1" fitToHeight="0"/>
  <headerFooter>
    <oddFooter>&amp;L© DONGSON AGRIMEX · CP04 · Rev.E&amp;C&amp;BẢN CÔNG KHAI&amp;R&amp;P / &amp;N</oddFooter>
  </headerFooter>
</worksheet>
</file>